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voitovSU\AppData\Roaming\1C\Файлы\ДокументооборотКОРП\Старовойтов Сергей Юрьевич 0edae82c-3619-11e3-b96e-005056aa186f\"/>
    </mc:Choice>
  </mc:AlternateContent>
  <bookViews>
    <workbookView xWindow="0" yWindow="0" windowWidth="29010" windowHeight="9405" tabRatio="759" activeTab="9"/>
  </bookViews>
  <sheets>
    <sheet name="Форма 3" sheetId="4" r:id="rId1"/>
    <sheet name="ПС 110-10 МДФ" sheetId="5" r:id="rId2"/>
    <sheet name="ПС 110-10 ЮМАС" sheetId="6" r:id="rId3"/>
    <sheet name="ПС 110-10 Лорба" sheetId="8" r:id="rId4"/>
    <sheet name="ПС 110-10 Сергино" sheetId="11" r:id="rId5"/>
    <sheet name="ПС 110-10 Полноват" sheetId="9" r:id="rId6"/>
    <sheet name="ПС 110-10 Шеркалы" sheetId="10" r:id="rId7"/>
    <sheet name="ПС 110-10 Кода" sheetId="12" r:id="rId8"/>
    <sheet name="ПС 110-10 Чара" sheetId="13" r:id="rId9"/>
    <sheet name="ПС 110-35-6 Березово" sheetId="7" r:id="rId10"/>
    <sheet name="ПС 110-10 Аванград" sheetId="14" r:id="rId11"/>
    <sheet name="ПС 110-35-10 ГИБДД" sheetId="17" r:id="rId12"/>
    <sheet name="ПС 110-10 Западная" sheetId="15" r:id="rId13"/>
    <sheet name="ПС 110-10 Самарово" sheetId="16" r:id="rId14"/>
    <sheet name="ПС 110-10-6 Пионерная-2" sheetId="19" r:id="rId15"/>
  </sheets>
  <externalReferences>
    <externalReference r:id="rId16"/>
    <externalReference r:id="rId17"/>
    <externalReference r:id="rId18"/>
  </externalReferences>
  <definedNames>
    <definedName name="_xlnm.Print_Titles" localSheetId="7">'ПС 110-10 Кода'!$A:$G</definedName>
    <definedName name="_xlnm.Print_Titles" localSheetId="3">'ПС 110-10 Лорба'!$A:$G</definedName>
    <definedName name="_xlnm.Print_Titles" localSheetId="5">'ПС 110-10 Полноват'!$A:$G</definedName>
    <definedName name="_xlnm.Print_Titles" localSheetId="4">'ПС 110-10 Сергино'!$A:$G,'ПС 110-10 Сергино'!$4:$4</definedName>
    <definedName name="_xlnm.Print_Titles" localSheetId="8">'ПС 110-10 Чара'!$A:$G,'ПС 110-10 Чара'!$4:$4</definedName>
    <definedName name="_xlnm.Print_Titles" localSheetId="6">'ПС 110-10 Шеркалы'!$A:$G</definedName>
    <definedName name="_xlnm.Print_Titles" localSheetId="9">'ПС 110-35-6 Березово'!$A:$G</definedName>
    <definedName name="_xlnm.Print_Area" localSheetId="7">'ПС 110-10 Кода'!$A$1:$CA$51</definedName>
    <definedName name="_xlnm.Print_Area" localSheetId="3">'ПС 110-10 Лорба'!$A$1:$CA$32</definedName>
    <definedName name="_xlnm.Print_Area" localSheetId="1">'ПС 110-10 МДФ'!$A$1:$AQ$100</definedName>
    <definedName name="_xlnm.Print_Area" localSheetId="5">'ПС 110-10 Полноват'!$A$1:$CA$42</definedName>
    <definedName name="_xlnm.Print_Area" localSheetId="4">'ПС 110-10 Сергино'!$A$1:$CA$55</definedName>
    <definedName name="_xlnm.Print_Area" localSheetId="8">'ПС 110-10 Чара'!$A$1:$CA$59</definedName>
    <definedName name="_xlnm.Print_Area" localSheetId="6">'ПС 110-10 Шеркалы'!$A$1:$CA$44</definedName>
    <definedName name="_xlnm.Print_Area" localSheetId="2">'ПС 110-10 ЮМАС'!$A$1:$AQ$142</definedName>
    <definedName name="_xlnm.Print_Area" localSheetId="14">'ПС 110-10-6 Пионерная-2'!$A$1:$AQ$178</definedName>
    <definedName name="_xlnm.Print_Area" localSheetId="9">'ПС 110-35-6 Березово'!$A$1:$CA$41</definedName>
    <definedName name="_xlnm.Print_Area" localSheetId="0">'Форма 3'!$A$1:$S$68</definedName>
  </definedNames>
  <calcPr calcId="152511"/>
</workbook>
</file>

<file path=xl/calcChain.xml><?xml version="1.0" encoding="utf-8"?>
<calcChain xmlns="http://schemas.openxmlformats.org/spreadsheetml/2006/main">
  <c r="AQ170" i="19" l="1"/>
  <c r="AO170" i="19"/>
  <c r="AN170" i="19"/>
  <c r="AL170" i="19"/>
  <c r="AK170" i="19"/>
  <c r="AI170" i="19"/>
  <c r="AH170" i="19"/>
  <c r="AF170" i="19"/>
  <c r="AE170" i="19"/>
  <c r="AC170" i="19"/>
  <c r="AB170" i="19"/>
  <c r="Z170" i="19"/>
  <c r="Y170" i="19"/>
  <c r="W170" i="19"/>
  <c r="V170" i="19"/>
  <c r="T170" i="19"/>
  <c r="S170" i="19"/>
  <c r="Q170" i="19"/>
  <c r="P170" i="19"/>
  <c r="N170" i="19"/>
  <c r="M170" i="19"/>
  <c r="K170" i="19"/>
  <c r="J170" i="19"/>
  <c r="H170" i="19"/>
  <c r="AQ169" i="19"/>
  <c r="AO169" i="19"/>
  <c r="AO173" i="19" s="1"/>
  <c r="AN169" i="19"/>
  <c r="AL169" i="19"/>
  <c r="AL173" i="19" s="1"/>
  <c r="AK169" i="19"/>
  <c r="AI169" i="19"/>
  <c r="AI173" i="19" s="1"/>
  <c r="AH169" i="19"/>
  <c r="AF169" i="19"/>
  <c r="AF173" i="19" s="1"/>
  <c r="AE169" i="19"/>
  <c r="AC169" i="19"/>
  <c r="AC173" i="19" s="1"/>
  <c r="AB169" i="19"/>
  <c r="Z169" i="19"/>
  <c r="Z173" i="19" s="1"/>
  <c r="Y169" i="19"/>
  <c r="W169" i="19"/>
  <c r="W173" i="19" s="1"/>
  <c r="V169" i="19"/>
  <c r="T169" i="19"/>
  <c r="T173" i="19" s="1"/>
  <c r="S169" i="19"/>
  <c r="Q169" i="19"/>
  <c r="Q173" i="19" s="1"/>
  <c r="P169" i="19"/>
  <c r="N169" i="19"/>
  <c r="N173" i="19" s="1"/>
  <c r="M169" i="19"/>
  <c r="K169" i="19"/>
  <c r="K173" i="19" s="1"/>
  <c r="J169" i="19"/>
  <c r="H169" i="19"/>
  <c r="H173" i="19" s="1"/>
  <c r="AQ168" i="19"/>
  <c r="AQ165" i="19"/>
  <c r="AO165" i="19"/>
  <c r="AN165" i="19"/>
  <c r="AL165" i="19"/>
  <c r="AK165" i="19"/>
  <c r="AI165" i="19"/>
  <c r="AH165" i="19"/>
  <c r="AF165" i="19"/>
  <c r="AE165" i="19"/>
  <c r="AC165" i="19"/>
  <c r="AB165" i="19"/>
  <c r="Z165" i="19"/>
  <c r="Y165" i="19"/>
  <c r="W165" i="19"/>
  <c r="V165" i="19"/>
  <c r="T165" i="19"/>
  <c r="S165" i="19"/>
  <c r="Q165" i="19"/>
  <c r="P165" i="19"/>
  <c r="N165" i="19"/>
  <c r="M165" i="19"/>
  <c r="K165" i="19"/>
  <c r="J165" i="19"/>
  <c r="H165" i="19"/>
  <c r="AQ164" i="19"/>
  <c r="AO164" i="19"/>
  <c r="AN164" i="19"/>
  <c r="AL164" i="19"/>
  <c r="AK164" i="19"/>
  <c r="AI164" i="19"/>
  <c r="AH164" i="19"/>
  <c r="AF164" i="19"/>
  <c r="AE164" i="19"/>
  <c r="AC164" i="19"/>
  <c r="AB164" i="19"/>
  <c r="Z164" i="19"/>
  <c r="Y164" i="19"/>
  <c r="W164" i="19"/>
  <c r="V164" i="19"/>
  <c r="T164" i="19"/>
  <c r="S164" i="19"/>
  <c r="Q164" i="19"/>
  <c r="P164" i="19"/>
  <c r="N164" i="19"/>
  <c r="M164" i="19"/>
  <c r="K164" i="19"/>
  <c r="J164" i="19"/>
  <c r="H164" i="19"/>
  <c r="AQ160" i="19"/>
  <c r="AP160" i="19"/>
  <c r="AN160" i="19"/>
  <c r="AM160" i="19"/>
  <c r="AK160" i="19"/>
  <c r="AJ160" i="19"/>
  <c r="AH160" i="19"/>
  <c r="AG160" i="19"/>
  <c r="AE160" i="19"/>
  <c r="AD160" i="19"/>
  <c r="AB160" i="19"/>
  <c r="AA160" i="19"/>
  <c r="Y160" i="19"/>
  <c r="X160" i="19"/>
  <c r="V160" i="19"/>
  <c r="U160" i="19"/>
  <c r="S160" i="19"/>
  <c r="R160" i="19"/>
  <c r="P160" i="19"/>
  <c r="O160" i="19"/>
  <c r="M160" i="19"/>
  <c r="L160" i="19"/>
  <c r="J160" i="19"/>
  <c r="I160" i="19"/>
  <c r="AQ159" i="19"/>
  <c r="AQ161" i="19" s="1"/>
  <c r="AP159" i="19"/>
  <c r="AP161" i="19" s="1"/>
  <c r="AN159" i="19"/>
  <c r="AN161" i="19" s="1"/>
  <c r="AM159" i="19"/>
  <c r="AM161" i="19" s="1"/>
  <c r="AK159" i="19"/>
  <c r="AK161" i="19" s="1"/>
  <c r="AJ159" i="19"/>
  <c r="AJ161" i="19" s="1"/>
  <c r="AH159" i="19"/>
  <c r="AH161" i="19" s="1"/>
  <c r="AG159" i="19"/>
  <c r="AG161" i="19" s="1"/>
  <c r="AE159" i="19"/>
  <c r="AE161" i="19" s="1"/>
  <c r="AD159" i="19"/>
  <c r="AD161" i="19" s="1"/>
  <c r="AB159" i="19"/>
  <c r="AB161" i="19" s="1"/>
  <c r="AA159" i="19"/>
  <c r="AA161" i="19" s="1"/>
  <c r="Y159" i="19"/>
  <c r="Y161" i="19" s="1"/>
  <c r="X159" i="19"/>
  <c r="X161" i="19" s="1"/>
  <c r="V159" i="19"/>
  <c r="V161" i="19" s="1"/>
  <c r="U159" i="19"/>
  <c r="U161" i="19" s="1"/>
  <c r="S159" i="19"/>
  <c r="S161" i="19" s="1"/>
  <c r="R159" i="19"/>
  <c r="R161" i="19" s="1"/>
  <c r="P159" i="19"/>
  <c r="P161" i="19" s="1"/>
  <c r="O159" i="19"/>
  <c r="O161" i="19" s="1"/>
  <c r="M159" i="19"/>
  <c r="M161" i="19" s="1"/>
  <c r="L159" i="19"/>
  <c r="L161" i="19" s="1"/>
  <c r="J159" i="19"/>
  <c r="J161" i="19" s="1"/>
  <c r="I159" i="19"/>
  <c r="I161" i="19" s="1"/>
  <c r="AO158" i="19"/>
  <c r="AL158" i="19"/>
  <c r="AI158" i="19"/>
  <c r="AF158" i="19"/>
  <c r="AC158" i="19"/>
  <c r="Z158" i="19"/>
  <c r="W158" i="19"/>
  <c r="T158" i="19"/>
  <c r="Q158" i="19"/>
  <c r="N158" i="19"/>
  <c r="K158" i="19"/>
  <c r="H158" i="19"/>
  <c r="AO157" i="19"/>
  <c r="AL157" i="19"/>
  <c r="AI157" i="19"/>
  <c r="AF157" i="19"/>
  <c r="AC157" i="19"/>
  <c r="Z157" i="19"/>
  <c r="W157" i="19"/>
  <c r="T157" i="19"/>
  <c r="Q157" i="19"/>
  <c r="N157" i="19"/>
  <c r="K157" i="19"/>
  <c r="H157" i="19"/>
  <c r="AO156" i="19"/>
  <c r="AL156" i="19"/>
  <c r="AI156" i="19"/>
  <c r="AF156" i="19"/>
  <c r="AC156" i="19"/>
  <c r="Z156" i="19"/>
  <c r="W156" i="19"/>
  <c r="T156" i="19"/>
  <c r="Q156" i="19"/>
  <c r="N156" i="19"/>
  <c r="K156" i="19"/>
  <c r="H156" i="19"/>
  <c r="AO155" i="19"/>
  <c r="AL155" i="19"/>
  <c r="AI155" i="19"/>
  <c r="AF155" i="19"/>
  <c r="AC155" i="19"/>
  <c r="Z155" i="19"/>
  <c r="W155" i="19"/>
  <c r="T155" i="19"/>
  <c r="Q155" i="19"/>
  <c r="N155" i="19"/>
  <c r="K155" i="19"/>
  <c r="H155" i="19"/>
  <c r="AO154" i="19"/>
  <c r="AL154" i="19"/>
  <c r="AI154" i="19"/>
  <c r="AF154" i="19"/>
  <c r="AC154" i="19"/>
  <c r="Z154" i="19"/>
  <c r="W154" i="19"/>
  <c r="T154" i="19"/>
  <c r="Q154" i="19"/>
  <c r="N154" i="19"/>
  <c r="K154" i="19"/>
  <c r="H154" i="19"/>
  <c r="AO153" i="19"/>
  <c r="AL153" i="19"/>
  <c r="AI153" i="19"/>
  <c r="AF153" i="19"/>
  <c r="AC153" i="19"/>
  <c r="Z153" i="19"/>
  <c r="W153" i="19"/>
  <c r="T153" i="19"/>
  <c r="Q153" i="19"/>
  <c r="N153" i="19"/>
  <c r="K153" i="19"/>
  <c r="H153" i="19"/>
  <c r="AO152" i="19"/>
  <c r="AL152" i="19"/>
  <c r="AI152" i="19"/>
  <c r="AF152" i="19"/>
  <c r="AC152" i="19"/>
  <c r="Z152" i="19"/>
  <c r="W152" i="19"/>
  <c r="T152" i="19"/>
  <c r="Q152" i="19"/>
  <c r="N152" i="19"/>
  <c r="K152" i="19"/>
  <c r="H152" i="19"/>
  <c r="AO151" i="19"/>
  <c r="AL151" i="19"/>
  <c r="AI151" i="19"/>
  <c r="AF151" i="19"/>
  <c r="AC151" i="19"/>
  <c r="Z151" i="19"/>
  <c r="W151" i="19"/>
  <c r="T151" i="19"/>
  <c r="Q151" i="19"/>
  <c r="N151" i="19"/>
  <c r="K151" i="19"/>
  <c r="H151" i="19"/>
  <c r="AO150" i="19"/>
  <c r="AL150" i="19"/>
  <c r="AI150" i="19"/>
  <c r="AF150" i="19"/>
  <c r="AC150" i="19"/>
  <c r="Z150" i="19"/>
  <c r="W150" i="19"/>
  <c r="T150" i="19"/>
  <c r="Q150" i="19"/>
  <c r="N150" i="19"/>
  <c r="K150" i="19"/>
  <c r="H150" i="19"/>
  <c r="AO149" i="19"/>
  <c r="AO160" i="19" s="1"/>
  <c r="AL149" i="19"/>
  <c r="AL160" i="19" s="1"/>
  <c r="AI149" i="19"/>
  <c r="AI160" i="19" s="1"/>
  <c r="AF149" i="19"/>
  <c r="AF160" i="19" s="1"/>
  <c r="AC149" i="19"/>
  <c r="AC160" i="19" s="1"/>
  <c r="Z149" i="19"/>
  <c r="Z160" i="19" s="1"/>
  <c r="W149" i="19"/>
  <c r="W160" i="19" s="1"/>
  <c r="T149" i="19"/>
  <c r="T160" i="19" s="1"/>
  <c r="Q149" i="19"/>
  <c r="Q160" i="19" s="1"/>
  <c r="N149" i="19"/>
  <c r="N160" i="19" s="1"/>
  <c r="K149" i="19"/>
  <c r="K160" i="19" s="1"/>
  <c r="H149" i="19"/>
  <c r="H160" i="19" s="1"/>
  <c r="AO148" i="19"/>
  <c r="AL148" i="19"/>
  <c r="AI148" i="19"/>
  <c r="AF148" i="19"/>
  <c r="AC148" i="19"/>
  <c r="Z148" i="19"/>
  <c r="W148" i="19"/>
  <c r="T148" i="19"/>
  <c r="Q148" i="19"/>
  <c r="N148" i="19"/>
  <c r="K148" i="19"/>
  <c r="H148" i="19"/>
  <c r="AO147" i="19"/>
  <c r="AL147" i="19"/>
  <c r="AI147" i="19"/>
  <c r="AF147" i="19"/>
  <c r="AC147" i="19"/>
  <c r="Z147" i="19"/>
  <c r="W147" i="19"/>
  <c r="T147" i="19"/>
  <c r="Q147" i="19"/>
  <c r="N147" i="19"/>
  <c r="K147" i="19"/>
  <c r="H147" i="19"/>
  <c r="AO146" i="19"/>
  <c r="AL146" i="19"/>
  <c r="AI146" i="19"/>
  <c r="AF146" i="19"/>
  <c r="AC146" i="19"/>
  <c r="Z146" i="19"/>
  <c r="W146" i="19"/>
  <c r="T146" i="19"/>
  <c r="Q146" i="19"/>
  <c r="N146" i="19"/>
  <c r="K146" i="19"/>
  <c r="H146" i="19"/>
  <c r="AO145" i="19"/>
  <c r="AL145" i="19"/>
  <c r="AI145" i="19"/>
  <c r="AF145" i="19"/>
  <c r="AC145" i="19"/>
  <c r="Z145" i="19"/>
  <c r="W145" i="19"/>
  <c r="T145" i="19"/>
  <c r="Q145" i="19"/>
  <c r="N145" i="19"/>
  <c r="K145" i="19"/>
  <c r="H145" i="19"/>
  <c r="AO144" i="19"/>
  <c r="AL144" i="19"/>
  <c r="AI144" i="19"/>
  <c r="AF144" i="19"/>
  <c r="AC144" i="19"/>
  <c r="Z144" i="19"/>
  <c r="W144" i="19"/>
  <c r="T144" i="19"/>
  <c r="Q144" i="19"/>
  <c r="N144" i="19"/>
  <c r="K144" i="19"/>
  <c r="H144" i="19"/>
  <c r="AO143" i="19"/>
  <c r="AO159" i="19" s="1"/>
  <c r="AO161" i="19" s="1"/>
  <c r="AL143" i="19"/>
  <c r="AL159" i="19" s="1"/>
  <c r="AL161" i="19" s="1"/>
  <c r="AI143" i="19"/>
  <c r="AI159" i="19" s="1"/>
  <c r="AI161" i="19" s="1"/>
  <c r="AF143" i="19"/>
  <c r="AF159" i="19" s="1"/>
  <c r="AF161" i="19" s="1"/>
  <c r="AC143" i="19"/>
  <c r="AC159" i="19" s="1"/>
  <c r="AC161" i="19" s="1"/>
  <c r="Z143" i="19"/>
  <c r="Z159" i="19" s="1"/>
  <c r="Z161" i="19" s="1"/>
  <c r="W143" i="19"/>
  <c r="W159" i="19" s="1"/>
  <c r="W161" i="19" s="1"/>
  <c r="T143" i="19"/>
  <c r="T159" i="19" s="1"/>
  <c r="T161" i="19" s="1"/>
  <c r="Q143" i="19"/>
  <c r="Q159" i="19" s="1"/>
  <c r="Q161" i="19" s="1"/>
  <c r="N143" i="19"/>
  <c r="N159" i="19" s="1"/>
  <c r="N161" i="19" s="1"/>
  <c r="K143" i="19"/>
  <c r="K159" i="19" s="1"/>
  <c r="K161" i="19" s="1"/>
  <c r="H143" i="19"/>
  <c r="H159" i="19" s="1"/>
  <c r="H161" i="19" s="1"/>
  <c r="AK139" i="19"/>
  <c r="AQ138" i="19"/>
  <c r="AP138" i="19"/>
  <c r="AN138" i="19"/>
  <c r="AM138" i="19"/>
  <c r="AK138" i="19"/>
  <c r="AJ138" i="19"/>
  <c r="AH138" i="19"/>
  <c r="AG138" i="19"/>
  <c r="AE138" i="19"/>
  <c r="AD138" i="19"/>
  <c r="AB138" i="19"/>
  <c r="AA138" i="19"/>
  <c r="Y138" i="19"/>
  <c r="X138" i="19"/>
  <c r="V138" i="19"/>
  <c r="U138" i="19"/>
  <c r="S138" i="19"/>
  <c r="R138" i="19"/>
  <c r="P138" i="19"/>
  <c r="O138" i="19"/>
  <c r="M138" i="19"/>
  <c r="L138" i="19"/>
  <c r="J138" i="19"/>
  <c r="I138" i="19"/>
  <c r="AQ137" i="19"/>
  <c r="AQ139" i="19" s="1"/>
  <c r="AP137" i="19"/>
  <c r="AP139" i="19" s="1"/>
  <c r="AN137" i="19"/>
  <c r="AN139" i="19" s="1"/>
  <c r="AM137" i="19"/>
  <c r="AM139" i="19" s="1"/>
  <c r="AK137" i="19"/>
  <c r="AJ137" i="19"/>
  <c r="AJ139" i="19" s="1"/>
  <c r="AH137" i="19"/>
  <c r="AH139" i="19" s="1"/>
  <c r="AG137" i="19"/>
  <c r="AG139" i="19" s="1"/>
  <c r="AE137" i="19"/>
  <c r="AE139" i="19" s="1"/>
  <c r="AD137" i="19"/>
  <c r="AD139" i="19" s="1"/>
  <c r="AB137" i="19"/>
  <c r="AB139" i="19" s="1"/>
  <c r="AA137" i="19"/>
  <c r="AA139" i="19" s="1"/>
  <c r="Y137" i="19"/>
  <c r="Y139" i="19" s="1"/>
  <c r="X137" i="19"/>
  <c r="X139" i="19" s="1"/>
  <c r="V137" i="19"/>
  <c r="V139" i="19" s="1"/>
  <c r="U137" i="19"/>
  <c r="U139" i="19" s="1"/>
  <c r="S137" i="19"/>
  <c r="S139" i="19" s="1"/>
  <c r="R137" i="19"/>
  <c r="R139" i="19" s="1"/>
  <c r="P137" i="19"/>
  <c r="P139" i="19" s="1"/>
  <c r="O137" i="19"/>
  <c r="O139" i="19" s="1"/>
  <c r="M137" i="19"/>
  <c r="M139" i="19" s="1"/>
  <c r="L137" i="19"/>
  <c r="L139" i="19" s="1"/>
  <c r="J137" i="19"/>
  <c r="J139" i="19" s="1"/>
  <c r="I137" i="19"/>
  <c r="I139" i="19" s="1"/>
  <c r="AO136" i="19"/>
  <c r="AL136" i="19"/>
  <c r="AI136" i="19"/>
  <c r="AF136" i="19"/>
  <c r="AC136" i="19"/>
  <c r="Z136" i="19"/>
  <c r="W136" i="19"/>
  <c r="T136" i="19"/>
  <c r="Q136" i="19"/>
  <c r="N136" i="19"/>
  <c r="K136" i="19"/>
  <c r="H136" i="19"/>
  <c r="AO135" i="19"/>
  <c r="AL135" i="19"/>
  <c r="AI135" i="19"/>
  <c r="AF135" i="19"/>
  <c r="AC135" i="19"/>
  <c r="Z135" i="19"/>
  <c r="W135" i="19"/>
  <c r="T135" i="19"/>
  <c r="Q135" i="19"/>
  <c r="N135" i="19"/>
  <c r="K135" i="19"/>
  <c r="H135" i="19"/>
  <c r="AO134" i="19"/>
  <c r="AL134" i="19"/>
  <c r="AI134" i="19"/>
  <c r="AF134" i="19"/>
  <c r="AC134" i="19"/>
  <c r="Z134" i="19"/>
  <c r="W134" i="19"/>
  <c r="T134" i="19"/>
  <c r="Q134" i="19"/>
  <c r="N134" i="19"/>
  <c r="K134" i="19"/>
  <c r="H134" i="19"/>
  <c r="AO133" i="19"/>
  <c r="AL133" i="19"/>
  <c r="AI133" i="19"/>
  <c r="AF133" i="19"/>
  <c r="AC133" i="19"/>
  <c r="Z133" i="19"/>
  <c r="W133" i="19"/>
  <c r="T133" i="19"/>
  <c r="Q133" i="19"/>
  <c r="N133" i="19"/>
  <c r="K133" i="19"/>
  <c r="H133" i="19"/>
  <c r="AO132" i="19"/>
  <c r="AL132" i="19"/>
  <c r="AI132" i="19"/>
  <c r="AF132" i="19"/>
  <c r="AC132" i="19"/>
  <c r="Z132" i="19"/>
  <c r="W132" i="19"/>
  <c r="T132" i="19"/>
  <c r="Q132" i="19"/>
  <c r="N132" i="19"/>
  <c r="K132" i="19"/>
  <c r="H132" i="19"/>
  <c r="AO131" i="19"/>
  <c r="AL131" i="19"/>
  <c r="AI131" i="19"/>
  <c r="AF131" i="19"/>
  <c r="AC131" i="19"/>
  <c r="Z131" i="19"/>
  <c r="W131" i="19"/>
  <c r="T131" i="19"/>
  <c r="Q131" i="19"/>
  <c r="N131" i="19"/>
  <c r="K131" i="19"/>
  <c r="H131" i="19"/>
  <c r="AO130" i="19"/>
  <c r="AL130" i="19"/>
  <c r="AI130" i="19"/>
  <c r="AF130" i="19"/>
  <c r="AC130" i="19"/>
  <c r="Z130" i="19"/>
  <c r="W130" i="19"/>
  <c r="T130" i="19"/>
  <c r="Q130" i="19"/>
  <c r="N130" i="19"/>
  <c r="K130" i="19"/>
  <c r="H130" i="19"/>
  <c r="AO129" i="19"/>
  <c r="AL129" i="19"/>
  <c r="AI129" i="19"/>
  <c r="AF129" i="19"/>
  <c r="AC129" i="19"/>
  <c r="Z129" i="19"/>
  <c r="W129" i="19"/>
  <c r="T129" i="19"/>
  <c r="Q129" i="19"/>
  <c r="N129" i="19"/>
  <c r="K129" i="19"/>
  <c r="H129" i="19"/>
  <c r="AO128" i="19"/>
  <c r="AL128" i="19"/>
  <c r="AI128" i="19"/>
  <c r="AF128" i="19"/>
  <c r="AC128" i="19"/>
  <c r="Z128" i="19"/>
  <c r="W128" i="19"/>
  <c r="T128" i="19"/>
  <c r="Q128" i="19"/>
  <c r="N128" i="19"/>
  <c r="K128" i="19"/>
  <c r="H128" i="19"/>
  <c r="AO127" i="19"/>
  <c r="AL127" i="19"/>
  <c r="AI127" i="19"/>
  <c r="AF127" i="19"/>
  <c r="AC127" i="19"/>
  <c r="Z127" i="19"/>
  <c r="W127" i="19"/>
  <c r="T127" i="19"/>
  <c r="Q127" i="19"/>
  <c r="N127" i="19"/>
  <c r="K127" i="19"/>
  <c r="H127" i="19"/>
  <c r="AO126" i="19"/>
  <c r="AL126" i="19"/>
  <c r="AI126" i="19"/>
  <c r="AF126" i="19"/>
  <c r="AC126" i="19"/>
  <c r="Z126" i="19"/>
  <c r="W126" i="19"/>
  <c r="T126" i="19"/>
  <c r="Q126" i="19"/>
  <c r="N126" i="19"/>
  <c r="K126" i="19"/>
  <c r="H126" i="19"/>
  <c r="AO125" i="19"/>
  <c r="AL125" i="19"/>
  <c r="AI125" i="19"/>
  <c r="AF125" i="19"/>
  <c r="AC125" i="19"/>
  <c r="Z125" i="19"/>
  <c r="W125" i="19"/>
  <c r="T125" i="19"/>
  <c r="Q125" i="19"/>
  <c r="N125" i="19"/>
  <c r="K125" i="19"/>
  <c r="H125" i="19"/>
  <c r="AO124" i="19"/>
  <c r="AL124" i="19"/>
  <c r="AI124" i="19"/>
  <c r="AF124" i="19"/>
  <c r="AC124" i="19"/>
  <c r="Z124" i="19"/>
  <c r="W124" i="19"/>
  <c r="T124" i="19"/>
  <c r="Q124" i="19"/>
  <c r="N124" i="19"/>
  <c r="K124" i="19"/>
  <c r="H124" i="19"/>
  <c r="AO123" i="19"/>
  <c r="AL123" i="19"/>
  <c r="AI123" i="19"/>
  <c r="AF123" i="19"/>
  <c r="AC123" i="19"/>
  <c r="Z123" i="19"/>
  <c r="W123" i="19"/>
  <c r="T123" i="19"/>
  <c r="Q123" i="19"/>
  <c r="N123" i="19"/>
  <c r="K123" i="19"/>
  <c r="H123" i="19"/>
  <c r="AO122" i="19"/>
  <c r="AL122" i="19"/>
  <c r="AI122" i="19"/>
  <c r="AF122" i="19"/>
  <c r="AC122" i="19"/>
  <c r="Z122" i="19"/>
  <c r="W122" i="19"/>
  <c r="T122" i="19"/>
  <c r="Q122" i="19"/>
  <c r="N122" i="19"/>
  <c r="K122" i="19"/>
  <c r="H122" i="19"/>
  <c r="AO121" i="19"/>
  <c r="AO137" i="19" s="1"/>
  <c r="AL121" i="19"/>
  <c r="AL137" i="19" s="1"/>
  <c r="AI121" i="19"/>
  <c r="AI137" i="19" s="1"/>
  <c r="AF121" i="19"/>
  <c r="AF137" i="19" s="1"/>
  <c r="AC121" i="19"/>
  <c r="AC137" i="19" s="1"/>
  <c r="Z121" i="19"/>
  <c r="Z137" i="19" s="1"/>
  <c r="W121" i="19"/>
  <c r="W137" i="19" s="1"/>
  <c r="T121" i="19"/>
  <c r="T137" i="19" s="1"/>
  <c r="Q121" i="19"/>
  <c r="Q137" i="19" s="1"/>
  <c r="N121" i="19"/>
  <c r="N137" i="19" s="1"/>
  <c r="K121" i="19"/>
  <c r="K137" i="19" s="1"/>
  <c r="H121" i="19"/>
  <c r="H137" i="19" s="1"/>
  <c r="AQ114" i="19"/>
  <c r="AP114" i="19"/>
  <c r="AN114" i="19"/>
  <c r="AM114" i="19"/>
  <c r="AK114" i="19"/>
  <c r="AJ114" i="19"/>
  <c r="AH114" i="19"/>
  <c r="AG114" i="19"/>
  <c r="AE114" i="19"/>
  <c r="AD114" i="19"/>
  <c r="AB114" i="19"/>
  <c r="AA114" i="19"/>
  <c r="Y114" i="19"/>
  <c r="X114" i="19"/>
  <c r="V114" i="19"/>
  <c r="U114" i="19"/>
  <c r="S114" i="19"/>
  <c r="R114" i="19"/>
  <c r="P114" i="19"/>
  <c r="O114" i="19"/>
  <c r="M114" i="19"/>
  <c r="L114" i="19"/>
  <c r="J114" i="19"/>
  <c r="I114" i="19"/>
  <c r="AQ113" i="19"/>
  <c r="AP113" i="19"/>
  <c r="AN113" i="19"/>
  <c r="AM113" i="19"/>
  <c r="AK113" i="19"/>
  <c r="AJ113" i="19"/>
  <c r="AH113" i="19"/>
  <c r="AG113" i="19"/>
  <c r="AE113" i="19"/>
  <c r="AD113" i="19"/>
  <c r="AB113" i="19"/>
  <c r="AA113" i="19"/>
  <c r="Y113" i="19"/>
  <c r="X113" i="19"/>
  <c r="V113" i="19"/>
  <c r="U113" i="19"/>
  <c r="S113" i="19"/>
  <c r="R113" i="19"/>
  <c r="P113" i="19"/>
  <c r="O113" i="19"/>
  <c r="M113" i="19"/>
  <c r="L113" i="19"/>
  <c r="J113" i="19"/>
  <c r="I113" i="19"/>
  <c r="AQ112" i="19"/>
  <c r="AP112" i="19"/>
  <c r="AN112" i="19"/>
  <c r="AM112" i="19"/>
  <c r="AK112" i="19"/>
  <c r="AJ112" i="19"/>
  <c r="AH112" i="19"/>
  <c r="AG112" i="19"/>
  <c r="AE112" i="19"/>
  <c r="AD112" i="19"/>
  <c r="AB112" i="19"/>
  <c r="AA112" i="19"/>
  <c r="Y112" i="19"/>
  <c r="X112" i="19"/>
  <c r="V112" i="19"/>
  <c r="U112" i="19"/>
  <c r="S112" i="19"/>
  <c r="R112" i="19"/>
  <c r="P112" i="19"/>
  <c r="O112" i="19"/>
  <c r="M112" i="19"/>
  <c r="L112" i="19"/>
  <c r="J112" i="19"/>
  <c r="I112" i="19"/>
  <c r="AO106" i="19"/>
  <c r="AL106" i="19"/>
  <c r="AI106" i="19"/>
  <c r="AF106" i="19"/>
  <c r="AC106" i="19"/>
  <c r="Z106" i="19"/>
  <c r="W106" i="19"/>
  <c r="T106" i="19"/>
  <c r="Q106" i="19"/>
  <c r="N106" i="19"/>
  <c r="K106" i="19"/>
  <c r="H106" i="19"/>
  <c r="AO105" i="19"/>
  <c r="AL105" i="19"/>
  <c r="AI105" i="19"/>
  <c r="AF105" i="19"/>
  <c r="AC105" i="19"/>
  <c r="Z105" i="19"/>
  <c r="W105" i="19"/>
  <c r="T105" i="19"/>
  <c r="Q105" i="19"/>
  <c r="N105" i="19"/>
  <c r="K105" i="19"/>
  <c r="H105" i="19"/>
  <c r="AO104" i="19"/>
  <c r="AL104" i="19"/>
  <c r="AI104" i="19"/>
  <c r="AF104" i="19"/>
  <c r="AC104" i="19"/>
  <c r="Z104" i="19"/>
  <c r="W104" i="19"/>
  <c r="T104" i="19"/>
  <c r="Q104" i="19"/>
  <c r="N104" i="19"/>
  <c r="K104" i="19"/>
  <c r="H104" i="19"/>
  <c r="AO98" i="19"/>
  <c r="AL98" i="19"/>
  <c r="AI98" i="19"/>
  <c r="AF98" i="19"/>
  <c r="AC98" i="19"/>
  <c r="Z98" i="19"/>
  <c r="W98" i="19"/>
  <c r="T98" i="19"/>
  <c r="Q98" i="19"/>
  <c r="N98" i="19"/>
  <c r="K98" i="19"/>
  <c r="H98" i="19"/>
  <c r="AO97" i="19"/>
  <c r="AL97" i="19"/>
  <c r="AI97" i="19"/>
  <c r="AF97" i="19"/>
  <c r="AC97" i="19"/>
  <c r="Z97" i="19"/>
  <c r="W97" i="19"/>
  <c r="T97" i="19"/>
  <c r="Q97" i="19"/>
  <c r="N97" i="19"/>
  <c r="K97" i="19"/>
  <c r="H97" i="19"/>
  <c r="AO96" i="19"/>
  <c r="AL96" i="19"/>
  <c r="AI96" i="19"/>
  <c r="AF96" i="19"/>
  <c r="AC96" i="19"/>
  <c r="Z96" i="19"/>
  <c r="W96" i="19"/>
  <c r="T96" i="19"/>
  <c r="Q96" i="19"/>
  <c r="N96" i="19"/>
  <c r="K96" i="19"/>
  <c r="H96" i="19"/>
  <c r="AQ83" i="19"/>
  <c r="AO83" i="19"/>
  <c r="AN83" i="19"/>
  <c r="AL83" i="19"/>
  <c r="AK83" i="19"/>
  <c r="AI83" i="19"/>
  <c r="AH83" i="19"/>
  <c r="AF83" i="19"/>
  <c r="AE83" i="19"/>
  <c r="AC83" i="19"/>
  <c r="AB83" i="19"/>
  <c r="Z83" i="19"/>
  <c r="Y83" i="19"/>
  <c r="W83" i="19"/>
  <c r="V83" i="19"/>
  <c r="T83" i="19"/>
  <c r="S83" i="19"/>
  <c r="Q83" i="19"/>
  <c r="P83" i="19"/>
  <c r="N83" i="19"/>
  <c r="M83" i="19"/>
  <c r="K83" i="19"/>
  <c r="J83" i="19"/>
  <c r="H83" i="19"/>
  <c r="AQ82" i="19"/>
  <c r="AO82" i="19"/>
  <c r="AO86" i="19" s="1"/>
  <c r="AN82" i="19"/>
  <c r="AL82" i="19"/>
  <c r="AL86" i="19" s="1"/>
  <c r="AK82" i="19"/>
  <c r="AI82" i="19"/>
  <c r="AI86" i="19" s="1"/>
  <c r="AH82" i="19"/>
  <c r="AF82" i="19"/>
  <c r="AF86" i="19" s="1"/>
  <c r="AE82" i="19"/>
  <c r="AC82" i="19"/>
  <c r="AC86" i="19" s="1"/>
  <c r="AB82" i="19"/>
  <c r="Z82" i="19"/>
  <c r="Z86" i="19" s="1"/>
  <c r="Y82" i="19"/>
  <c r="W82" i="19"/>
  <c r="W86" i="19" s="1"/>
  <c r="V82" i="19"/>
  <c r="T82" i="19"/>
  <c r="T86" i="19" s="1"/>
  <c r="S82" i="19"/>
  <c r="Q82" i="19"/>
  <c r="Q86" i="19" s="1"/>
  <c r="P82" i="19"/>
  <c r="N82" i="19"/>
  <c r="N86" i="19" s="1"/>
  <c r="M82" i="19"/>
  <c r="K82" i="19"/>
  <c r="K86" i="19" s="1"/>
  <c r="J82" i="19"/>
  <c r="H82" i="19"/>
  <c r="H86" i="19" s="1"/>
  <c r="AQ78" i="19"/>
  <c r="AO78" i="19"/>
  <c r="AN78" i="19"/>
  <c r="AL78" i="19"/>
  <c r="AK78" i="19"/>
  <c r="AI78" i="19"/>
  <c r="AH78" i="19"/>
  <c r="AF78" i="19"/>
  <c r="AE78" i="19"/>
  <c r="AC78" i="19"/>
  <c r="AB78" i="19"/>
  <c r="Z78" i="19"/>
  <c r="Y78" i="19"/>
  <c r="W78" i="19"/>
  <c r="V78" i="19"/>
  <c r="T78" i="19"/>
  <c r="S78" i="19"/>
  <c r="Q78" i="19"/>
  <c r="P78" i="19"/>
  <c r="N78" i="19"/>
  <c r="M78" i="19"/>
  <c r="K78" i="19"/>
  <c r="J78" i="19"/>
  <c r="H78" i="19"/>
  <c r="AQ77" i="19"/>
  <c r="AO77" i="19"/>
  <c r="AN77" i="19"/>
  <c r="AL77" i="19"/>
  <c r="AK77" i="19"/>
  <c r="AI77" i="19"/>
  <c r="AH77" i="19"/>
  <c r="AF77" i="19"/>
  <c r="AE77" i="19"/>
  <c r="AC77" i="19"/>
  <c r="AB77" i="19"/>
  <c r="Z77" i="19"/>
  <c r="Y77" i="19"/>
  <c r="W77" i="19"/>
  <c r="V77" i="19"/>
  <c r="T77" i="19"/>
  <c r="S77" i="19"/>
  <c r="Q77" i="19"/>
  <c r="P77" i="19"/>
  <c r="N77" i="19"/>
  <c r="M77" i="19"/>
  <c r="K77" i="19"/>
  <c r="J77" i="19"/>
  <c r="H77" i="19"/>
  <c r="AQ73" i="19"/>
  <c r="AQ74" i="19" s="1"/>
  <c r="AP73" i="19"/>
  <c r="AN73" i="19"/>
  <c r="AM73" i="19"/>
  <c r="AK73" i="19"/>
  <c r="AJ73" i="19"/>
  <c r="AH73" i="19"/>
  <c r="AG73" i="19"/>
  <c r="AE73" i="19"/>
  <c r="AD73" i="19"/>
  <c r="AB73" i="19"/>
  <c r="AA73" i="19"/>
  <c r="Y73" i="19"/>
  <c r="Y74" i="19" s="1"/>
  <c r="X73" i="19"/>
  <c r="V73" i="19"/>
  <c r="U73" i="19"/>
  <c r="S73" i="19"/>
  <c r="R73" i="19"/>
  <c r="P73" i="19"/>
  <c r="O73" i="19"/>
  <c r="M73" i="19"/>
  <c r="L73" i="19"/>
  <c r="J73" i="19"/>
  <c r="I73" i="19"/>
  <c r="AQ72" i="19"/>
  <c r="AP72" i="19"/>
  <c r="AN72" i="19"/>
  <c r="AN74" i="19" s="1"/>
  <c r="AM72" i="19"/>
  <c r="AM74" i="19" s="1"/>
  <c r="AK72" i="19"/>
  <c r="AK74" i="19" s="1"/>
  <c r="AJ72" i="19"/>
  <c r="AH72" i="19"/>
  <c r="AG72" i="19"/>
  <c r="AG74" i="19" s="1"/>
  <c r="AE72" i="19"/>
  <c r="AE74" i="19" s="1"/>
  <c r="AD72" i="19"/>
  <c r="AD74" i="19" s="1"/>
  <c r="AB72" i="19"/>
  <c r="AB74" i="19" s="1"/>
  <c r="AA72" i="19"/>
  <c r="Y72" i="19"/>
  <c r="X72" i="19"/>
  <c r="X74" i="19" s="1"/>
  <c r="V72" i="19"/>
  <c r="U72" i="19"/>
  <c r="U74" i="19" s="1"/>
  <c r="S72" i="19"/>
  <c r="R72" i="19"/>
  <c r="P72" i="19"/>
  <c r="P74" i="19" s="1"/>
  <c r="O72" i="19"/>
  <c r="O74" i="19" s="1"/>
  <c r="M72" i="19"/>
  <c r="L72" i="19"/>
  <c r="L74" i="19" s="1"/>
  <c r="J72" i="19"/>
  <c r="I72" i="19"/>
  <c r="AO71" i="19"/>
  <c r="AL71" i="19"/>
  <c r="AI71" i="19"/>
  <c r="AF71" i="19"/>
  <c r="AC71" i="19"/>
  <c r="Z71" i="19"/>
  <c r="W71" i="19"/>
  <c r="T71" i="19"/>
  <c r="Q71" i="19"/>
  <c r="N71" i="19"/>
  <c r="K71" i="19"/>
  <c r="H71" i="19"/>
  <c r="AO70" i="19"/>
  <c r="AL70" i="19"/>
  <c r="AI70" i="19"/>
  <c r="AF70" i="19"/>
  <c r="AC70" i="19"/>
  <c r="Z70" i="19"/>
  <c r="W70" i="19"/>
  <c r="T70" i="19"/>
  <c r="Q70" i="19"/>
  <c r="N70" i="19"/>
  <c r="K70" i="19"/>
  <c r="H70" i="19"/>
  <c r="AO69" i="19"/>
  <c r="AL69" i="19"/>
  <c r="AI69" i="19"/>
  <c r="AF69" i="19"/>
  <c r="AC69" i="19"/>
  <c r="Z69" i="19"/>
  <c r="W69" i="19"/>
  <c r="T69" i="19"/>
  <c r="Q69" i="19"/>
  <c r="N69" i="19"/>
  <c r="K69" i="19"/>
  <c r="H69" i="19"/>
  <c r="AO68" i="19"/>
  <c r="AL68" i="19"/>
  <c r="AI68" i="19"/>
  <c r="AF68" i="19"/>
  <c r="AC68" i="19"/>
  <c r="Z68" i="19"/>
  <c r="W68" i="19"/>
  <c r="T68" i="19"/>
  <c r="Q68" i="19"/>
  <c r="N68" i="19"/>
  <c r="K68" i="19"/>
  <c r="H68" i="19"/>
  <c r="AO67" i="19"/>
  <c r="AL67" i="19"/>
  <c r="AI67" i="19"/>
  <c r="AF67" i="19"/>
  <c r="AC67" i="19"/>
  <c r="Z67" i="19"/>
  <c r="W67" i="19"/>
  <c r="T67" i="19"/>
  <c r="Q67" i="19"/>
  <c r="N67" i="19"/>
  <c r="K67" i="19"/>
  <c r="H67" i="19"/>
  <c r="AO66" i="19"/>
  <c r="AL66" i="19"/>
  <c r="AI66" i="19"/>
  <c r="AF66" i="19"/>
  <c r="AC66" i="19"/>
  <c r="Z66" i="19"/>
  <c r="W66" i="19"/>
  <c r="T66" i="19"/>
  <c r="Q66" i="19"/>
  <c r="N66" i="19"/>
  <c r="K66" i="19"/>
  <c r="H66" i="19"/>
  <c r="AO65" i="19"/>
  <c r="AL65" i="19"/>
  <c r="AI65" i="19"/>
  <c r="AF65" i="19"/>
  <c r="AC65" i="19"/>
  <c r="Z65" i="19"/>
  <c r="W65" i="19"/>
  <c r="T65" i="19"/>
  <c r="Q65" i="19"/>
  <c r="N65" i="19"/>
  <c r="K65" i="19"/>
  <c r="H65" i="19"/>
  <c r="AO64" i="19"/>
  <c r="AL64" i="19"/>
  <c r="AI64" i="19"/>
  <c r="AF64" i="19"/>
  <c r="AC64" i="19"/>
  <c r="Z64" i="19"/>
  <c r="W64" i="19"/>
  <c r="T64" i="19"/>
  <c r="Q64" i="19"/>
  <c r="N64" i="19"/>
  <c r="K64" i="19"/>
  <c r="H64" i="19"/>
  <c r="AO63" i="19"/>
  <c r="AL63" i="19"/>
  <c r="AI63" i="19"/>
  <c r="AF63" i="19"/>
  <c r="AC63" i="19"/>
  <c r="Z63" i="19"/>
  <c r="W63" i="19"/>
  <c r="T63" i="19"/>
  <c r="Q63" i="19"/>
  <c r="N63" i="19"/>
  <c r="K63" i="19"/>
  <c r="H63" i="19"/>
  <c r="AO62" i="19"/>
  <c r="AL62" i="19"/>
  <c r="AI62" i="19"/>
  <c r="AF62" i="19"/>
  <c r="AC62" i="19"/>
  <c r="Z62" i="19"/>
  <c r="W62" i="19"/>
  <c r="T62" i="19"/>
  <c r="Q62" i="19"/>
  <c r="N62" i="19"/>
  <c r="K62" i="19"/>
  <c r="H62" i="19"/>
  <c r="AO61" i="19"/>
  <c r="AL61" i="19"/>
  <c r="AI61" i="19"/>
  <c r="AF61" i="19"/>
  <c r="AC61" i="19"/>
  <c r="Z61" i="19"/>
  <c r="W61" i="19"/>
  <c r="T61" i="19"/>
  <c r="Q61" i="19"/>
  <c r="N61" i="19"/>
  <c r="K61" i="19"/>
  <c r="H61" i="19"/>
  <c r="AO60" i="19"/>
  <c r="AL60" i="19"/>
  <c r="AI60" i="19"/>
  <c r="AF60" i="19"/>
  <c r="AC60" i="19"/>
  <c r="Z60" i="19"/>
  <c r="W60" i="19"/>
  <c r="T60" i="19"/>
  <c r="Q60" i="19"/>
  <c r="N60" i="19"/>
  <c r="K60" i="19"/>
  <c r="H60" i="19"/>
  <c r="AO59" i="19"/>
  <c r="AL59" i="19"/>
  <c r="AI59" i="19"/>
  <c r="AF59" i="19"/>
  <c r="AC59" i="19"/>
  <c r="Z59" i="19"/>
  <c r="W59" i="19"/>
  <c r="T59" i="19"/>
  <c r="Q59" i="19"/>
  <c r="N59" i="19"/>
  <c r="K59" i="19"/>
  <c r="H59" i="19"/>
  <c r="AO58" i="19"/>
  <c r="AL58" i="19"/>
  <c r="AI58" i="19"/>
  <c r="AF58" i="19"/>
  <c r="AC58" i="19"/>
  <c r="Z58" i="19"/>
  <c r="W58" i="19"/>
  <c r="T58" i="19"/>
  <c r="Q58" i="19"/>
  <c r="N58" i="19"/>
  <c r="K58" i="19"/>
  <c r="H58" i="19"/>
  <c r="AO57" i="19"/>
  <c r="AL57" i="19"/>
  <c r="AI57" i="19"/>
  <c r="AF57" i="19"/>
  <c r="AC57" i="19"/>
  <c r="Z57" i="19"/>
  <c r="W57" i="19"/>
  <c r="T57" i="19"/>
  <c r="Q57" i="19"/>
  <c r="N57" i="19"/>
  <c r="K57" i="19"/>
  <c r="H57" i="19"/>
  <c r="AO56" i="19"/>
  <c r="AO72" i="19" s="1"/>
  <c r="AL56" i="19"/>
  <c r="AL72" i="19" s="1"/>
  <c r="AI56" i="19"/>
  <c r="AI72" i="19" s="1"/>
  <c r="AF56" i="19"/>
  <c r="AF72" i="19" s="1"/>
  <c r="AC56" i="19"/>
  <c r="AC72" i="19" s="1"/>
  <c r="Z56" i="19"/>
  <c r="Z72" i="19" s="1"/>
  <c r="W56" i="19"/>
  <c r="W72" i="19" s="1"/>
  <c r="T56" i="19"/>
  <c r="T72" i="19" s="1"/>
  <c r="Q56" i="19"/>
  <c r="Q72" i="19" s="1"/>
  <c r="N56" i="19"/>
  <c r="N72" i="19" s="1"/>
  <c r="K56" i="19"/>
  <c r="K72" i="19" s="1"/>
  <c r="H56" i="19"/>
  <c r="H72" i="19" s="1"/>
  <c r="AQ51" i="19"/>
  <c r="AP51" i="19"/>
  <c r="AO51" i="19"/>
  <c r="AN51" i="19"/>
  <c r="AM51" i="19"/>
  <c r="AK51" i="19"/>
  <c r="AJ51" i="19"/>
  <c r="AH51" i="19"/>
  <c r="AG51" i="19"/>
  <c r="AE51" i="19"/>
  <c r="AD51" i="19"/>
  <c r="AB51" i="19"/>
  <c r="AA51" i="19"/>
  <c r="Y51" i="19"/>
  <c r="X51" i="19"/>
  <c r="W51" i="19"/>
  <c r="V51" i="19"/>
  <c r="U51" i="19"/>
  <c r="S51" i="19"/>
  <c r="R51" i="19"/>
  <c r="P51" i="19"/>
  <c r="O51" i="19"/>
  <c r="M51" i="19"/>
  <c r="L51" i="19"/>
  <c r="J51" i="19"/>
  <c r="I51" i="19"/>
  <c r="AQ50" i="19"/>
  <c r="AP50" i="19"/>
  <c r="AP52" i="19" s="1"/>
  <c r="AN50" i="19"/>
  <c r="AM50" i="19"/>
  <c r="AM52" i="19" s="1"/>
  <c r="AK50" i="19"/>
  <c r="AK52" i="19" s="1"/>
  <c r="AJ50" i="19"/>
  <c r="AH50" i="19"/>
  <c r="AH52" i="19" s="1"/>
  <c r="AG50" i="19"/>
  <c r="AE50" i="19"/>
  <c r="AD50" i="19"/>
  <c r="AD52" i="19" s="1"/>
  <c r="AB50" i="19"/>
  <c r="AB52" i="19" s="1"/>
  <c r="AA50" i="19"/>
  <c r="Y50" i="19"/>
  <c r="Y52" i="19" s="1"/>
  <c r="X50" i="19"/>
  <c r="V50" i="19"/>
  <c r="V52" i="19" s="1"/>
  <c r="U50" i="19"/>
  <c r="U52" i="19" s="1"/>
  <c r="S50" i="19"/>
  <c r="S52" i="19" s="1"/>
  <c r="R50" i="19"/>
  <c r="R52" i="19" s="1"/>
  <c r="P50" i="19"/>
  <c r="O50" i="19"/>
  <c r="M50" i="19"/>
  <c r="M52" i="19" s="1"/>
  <c r="L50" i="19"/>
  <c r="L52" i="19" s="1"/>
  <c r="J50" i="19"/>
  <c r="J52" i="19" s="1"/>
  <c r="I50" i="19"/>
  <c r="I52" i="19" s="1"/>
  <c r="AO49" i="19"/>
  <c r="AL49" i="19"/>
  <c r="AI49" i="19"/>
  <c r="AF49" i="19"/>
  <c r="AC49" i="19"/>
  <c r="Z49" i="19"/>
  <c r="W49" i="19"/>
  <c r="T49" i="19"/>
  <c r="Q49" i="19"/>
  <c r="N49" i="19"/>
  <c r="K49" i="19"/>
  <c r="H49" i="19"/>
  <c r="AO48" i="19"/>
  <c r="AL48" i="19"/>
  <c r="AI48" i="19"/>
  <c r="AF48" i="19"/>
  <c r="AC48" i="19"/>
  <c r="Z48" i="19"/>
  <c r="W48" i="19"/>
  <c r="T48" i="19"/>
  <c r="Q48" i="19"/>
  <c r="N48" i="19"/>
  <c r="K48" i="19"/>
  <c r="H48" i="19"/>
  <c r="AO47" i="19"/>
  <c r="AL47" i="19"/>
  <c r="AI47" i="19"/>
  <c r="AF47" i="19"/>
  <c r="AC47" i="19"/>
  <c r="Z47" i="19"/>
  <c r="W47" i="19"/>
  <c r="T47" i="19"/>
  <c r="Q47" i="19"/>
  <c r="N47" i="19"/>
  <c r="K47" i="19"/>
  <c r="H47" i="19"/>
  <c r="AO46" i="19"/>
  <c r="AL46" i="19"/>
  <c r="AI46" i="19"/>
  <c r="AF46" i="19"/>
  <c r="AC46" i="19"/>
  <c r="Z46" i="19"/>
  <c r="W46" i="19"/>
  <c r="T46" i="19"/>
  <c r="Q46" i="19"/>
  <c r="N46" i="19"/>
  <c r="K46" i="19"/>
  <c r="H46" i="19"/>
  <c r="AO45" i="19"/>
  <c r="AL45" i="19"/>
  <c r="AI45" i="19"/>
  <c r="AF45" i="19"/>
  <c r="AC45" i="19"/>
  <c r="Z45" i="19"/>
  <c r="W45" i="19"/>
  <c r="T45" i="19"/>
  <c r="Q45" i="19"/>
  <c r="N45" i="19"/>
  <c r="K45" i="19"/>
  <c r="H45" i="19"/>
  <c r="AO44" i="19"/>
  <c r="AL44" i="19"/>
  <c r="AI44" i="19"/>
  <c r="AF44" i="19"/>
  <c r="AC44" i="19"/>
  <c r="Z44" i="19"/>
  <c r="W44" i="19"/>
  <c r="T44" i="19"/>
  <c r="Q44" i="19"/>
  <c r="N44" i="19"/>
  <c r="K44" i="19"/>
  <c r="H44" i="19"/>
  <c r="AO43" i="19"/>
  <c r="AL43" i="19"/>
  <c r="AI43" i="19"/>
  <c r="AF43" i="19"/>
  <c r="AC43" i="19"/>
  <c r="Z43" i="19"/>
  <c r="W43" i="19"/>
  <c r="T43" i="19"/>
  <c r="Q43" i="19"/>
  <c r="N43" i="19"/>
  <c r="K43" i="19"/>
  <c r="H43" i="19"/>
  <c r="AO42" i="19"/>
  <c r="AL42" i="19"/>
  <c r="AI42" i="19"/>
  <c r="AF42" i="19"/>
  <c r="AC42" i="19"/>
  <c r="Z42" i="19"/>
  <c r="W42" i="19"/>
  <c r="T42" i="19"/>
  <c r="Q42" i="19"/>
  <c r="N42" i="19"/>
  <c r="K42" i="19"/>
  <c r="H42" i="19"/>
  <c r="AO41" i="19"/>
  <c r="AL41" i="19"/>
  <c r="AI41" i="19"/>
  <c r="AF41" i="19"/>
  <c r="AC41" i="19"/>
  <c r="Z41" i="19"/>
  <c r="W41" i="19"/>
  <c r="T41" i="19"/>
  <c r="Q41" i="19"/>
  <c r="N41" i="19"/>
  <c r="K41" i="19"/>
  <c r="H41" i="19"/>
  <c r="AO40" i="19"/>
  <c r="AL40" i="19"/>
  <c r="AI40" i="19"/>
  <c r="AF40" i="19"/>
  <c r="AC40" i="19"/>
  <c r="Z40" i="19"/>
  <c r="W40" i="19"/>
  <c r="T40" i="19"/>
  <c r="Q40" i="19"/>
  <c r="N40" i="19"/>
  <c r="K40" i="19"/>
  <c r="H40" i="19"/>
  <c r="AO39" i="19"/>
  <c r="AL39" i="19"/>
  <c r="AI39" i="19"/>
  <c r="AF39" i="19"/>
  <c r="AC39" i="19"/>
  <c r="Z39" i="19"/>
  <c r="W39" i="19"/>
  <c r="T39" i="19"/>
  <c r="Q39" i="19"/>
  <c r="N39" i="19"/>
  <c r="K39" i="19"/>
  <c r="H39" i="19"/>
  <c r="AO38" i="19"/>
  <c r="AL38" i="19"/>
  <c r="AI38" i="19"/>
  <c r="AF38" i="19"/>
  <c r="AC38" i="19"/>
  <c r="Z38" i="19"/>
  <c r="W38" i="19"/>
  <c r="T38" i="19"/>
  <c r="Q38" i="19"/>
  <c r="N38" i="19"/>
  <c r="K38" i="19"/>
  <c r="H38" i="19"/>
  <c r="AO37" i="19"/>
  <c r="AL37" i="19"/>
  <c r="AI37" i="19"/>
  <c r="AF37" i="19"/>
  <c r="AC37" i="19"/>
  <c r="Z37" i="19"/>
  <c r="W37" i="19"/>
  <c r="T37" i="19"/>
  <c r="Q37" i="19"/>
  <c r="N37" i="19"/>
  <c r="K37" i="19"/>
  <c r="H37" i="19"/>
  <c r="AO36" i="19"/>
  <c r="AL36" i="19"/>
  <c r="AI36" i="19"/>
  <c r="AF36" i="19"/>
  <c r="AC36" i="19"/>
  <c r="Z36" i="19"/>
  <c r="W36" i="19"/>
  <c r="T36" i="19"/>
  <c r="Q36" i="19"/>
  <c r="N36" i="19"/>
  <c r="K36" i="19"/>
  <c r="H36" i="19"/>
  <c r="AO35" i="19"/>
  <c r="AL35" i="19"/>
  <c r="AI35" i="19"/>
  <c r="AF35" i="19"/>
  <c r="AC35" i="19"/>
  <c r="Z35" i="19"/>
  <c r="W35" i="19"/>
  <c r="T35" i="19"/>
  <c r="Q35" i="19"/>
  <c r="N35" i="19"/>
  <c r="K35" i="19"/>
  <c r="H35" i="19"/>
  <c r="AO34" i="19"/>
  <c r="AO50" i="19" s="1"/>
  <c r="AO52" i="19" s="1"/>
  <c r="AL34" i="19"/>
  <c r="AL50" i="19" s="1"/>
  <c r="AI34" i="19"/>
  <c r="AI50" i="19" s="1"/>
  <c r="AF34" i="19"/>
  <c r="AF50" i="19" s="1"/>
  <c r="AC34" i="19"/>
  <c r="AC50" i="19" s="1"/>
  <c r="Z34" i="19"/>
  <c r="Z50" i="19" s="1"/>
  <c r="W34" i="19"/>
  <c r="W50" i="19" s="1"/>
  <c r="W52" i="19" s="1"/>
  <c r="T34" i="19"/>
  <c r="T50" i="19" s="1"/>
  <c r="Q34" i="19"/>
  <c r="Q50" i="19" s="1"/>
  <c r="N34" i="19"/>
  <c r="N50" i="19" s="1"/>
  <c r="K34" i="19"/>
  <c r="K50" i="19" s="1"/>
  <c r="H34" i="19"/>
  <c r="H50" i="19" s="1"/>
  <c r="AQ27" i="19"/>
  <c r="AP27" i="19"/>
  <c r="AO27" i="19"/>
  <c r="AN27" i="19"/>
  <c r="AM27" i="19"/>
  <c r="AK27" i="19"/>
  <c r="AJ27" i="19"/>
  <c r="AH27" i="19"/>
  <c r="AG27" i="19"/>
  <c r="AE27" i="19"/>
  <c r="AD27" i="19"/>
  <c r="AB27" i="19"/>
  <c r="AA27" i="19"/>
  <c r="Y27" i="19"/>
  <c r="X27" i="19"/>
  <c r="V27" i="19"/>
  <c r="U27" i="19"/>
  <c r="S27" i="19"/>
  <c r="R27" i="19"/>
  <c r="P27" i="19"/>
  <c r="O27" i="19"/>
  <c r="M27" i="19"/>
  <c r="L27" i="19"/>
  <c r="J27" i="19"/>
  <c r="I27" i="19"/>
  <c r="AQ26" i="19"/>
  <c r="AP26" i="19"/>
  <c r="AO26" i="19"/>
  <c r="AN26" i="19"/>
  <c r="AM26" i="19"/>
  <c r="AK26" i="19"/>
  <c r="AJ26" i="19"/>
  <c r="AH26" i="19"/>
  <c r="AG26" i="19"/>
  <c r="AE26" i="19"/>
  <c r="AD26" i="19"/>
  <c r="AB26" i="19"/>
  <c r="AA26" i="19"/>
  <c r="Y26" i="19"/>
  <c r="X26" i="19"/>
  <c r="W26" i="19"/>
  <c r="V26" i="19"/>
  <c r="U26" i="19"/>
  <c r="S26" i="19"/>
  <c r="R26" i="19"/>
  <c r="P26" i="19"/>
  <c r="O26" i="19"/>
  <c r="M26" i="19"/>
  <c r="L26" i="19"/>
  <c r="J26" i="19"/>
  <c r="I26" i="19"/>
  <c r="AQ25" i="19"/>
  <c r="AP25" i="19"/>
  <c r="AN25" i="19"/>
  <c r="AM25" i="19"/>
  <c r="AK25" i="19"/>
  <c r="AJ25" i="19"/>
  <c r="AH25" i="19"/>
  <c r="AG25" i="19"/>
  <c r="AE25" i="19"/>
  <c r="AD25" i="19"/>
  <c r="AB25" i="19"/>
  <c r="AA25" i="19"/>
  <c r="Y25" i="19"/>
  <c r="X25" i="19"/>
  <c r="V25" i="19"/>
  <c r="U25" i="19"/>
  <c r="S25" i="19"/>
  <c r="R25" i="19"/>
  <c r="P25" i="19"/>
  <c r="O25" i="19"/>
  <c r="M25" i="19"/>
  <c r="L25" i="19"/>
  <c r="J25" i="19"/>
  <c r="I25" i="19"/>
  <c r="AO19" i="19"/>
  <c r="AL19" i="19"/>
  <c r="AI19" i="19"/>
  <c r="AF19" i="19"/>
  <c r="AC19" i="19"/>
  <c r="Z19" i="19"/>
  <c r="W19" i="19"/>
  <c r="W27" i="19" s="1"/>
  <c r="T19" i="19"/>
  <c r="Q19" i="19"/>
  <c r="N19" i="19"/>
  <c r="K19" i="19"/>
  <c r="H19" i="19"/>
  <c r="AO18" i="19"/>
  <c r="AL18" i="19"/>
  <c r="AI18" i="19"/>
  <c r="AF18" i="19"/>
  <c r="AC18" i="19"/>
  <c r="Z18" i="19"/>
  <c r="W18" i="19"/>
  <c r="T18" i="19"/>
  <c r="Q18" i="19"/>
  <c r="N18" i="19"/>
  <c r="K18" i="19"/>
  <c r="H18" i="19"/>
  <c r="AO17" i="19"/>
  <c r="AO25" i="19" s="1"/>
  <c r="AL17" i="19"/>
  <c r="AI17" i="19"/>
  <c r="AF17" i="19"/>
  <c r="AC17" i="19"/>
  <c r="Z17" i="19"/>
  <c r="W17" i="19"/>
  <c r="W25" i="19" s="1"/>
  <c r="T17" i="19"/>
  <c r="Q17" i="19"/>
  <c r="N17" i="19"/>
  <c r="K17" i="19"/>
  <c r="H17" i="19"/>
  <c r="AO11" i="19"/>
  <c r="AL11" i="19"/>
  <c r="AI11" i="19"/>
  <c r="AF11" i="19"/>
  <c r="AC11" i="19"/>
  <c r="Z11" i="19"/>
  <c r="W11" i="19"/>
  <c r="T11" i="19"/>
  <c r="Q11" i="19"/>
  <c r="N11" i="19"/>
  <c r="K11" i="19"/>
  <c r="H11" i="19"/>
  <c r="AO10" i="19"/>
  <c r="AL10" i="19"/>
  <c r="AI10" i="19"/>
  <c r="AF10" i="19"/>
  <c r="AC10" i="19"/>
  <c r="Z10" i="19"/>
  <c r="W10" i="19"/>
  <c r="T10" i="19"/>
  <c r="Q10" i="19"/>
  <c r="N10" i="19"/>
  <c r="K10" i="19"/>
  <c r="H10" i="19"/>
  <c r="AO9" i="19"/>
  <c r="AL9" i="19"/>
  <c r="AI9" i="19"/>
  <c r="AF9" i="19"/>
  <c r="AC9" i="19"/>
  <c r="Z9" i="19"/>
  <c r="W9" i="19"/>
  <c r="T9" i="19"/>
  <c r="Q9" i="19"/>
  <c r="N9" i="19"/>
  <c r="K9" i="19"/>
  <c r="H9" i="19"/>
  <c r="AK66" i="17"/>
  <c r="AI66" i="17"/>
  <c r="AH66" i="17"/>
  <c r="AF66" i="17"/>
  <c r="AE66" i="17"/>
  <c r="AC66" i="17"/>
  <c r="AB66" i="17"/>
  <c r="Z66" i="17"/>
  <c r="Y66" i="17"/>
  <c r="W66" i="17"/>
  <c r="V66" i="17"/>
  <c r="T66" i="17"/>
  <c r="S66" i="17"/>
  <c r="Q66" i="17"/>
  <c r="P66" i="17"/>
  <c r="N66" i="17"/>
  <c r="M66" i="17"/>
  <c r="K66" i="17"/>
  <c r="J66" i="17"/>
  <c r="H66" i="17"/>
  <c r="CA63" i="17"/>
  <c r="BY63" i="17"/>
  <c r="BX63" i="17"/>
  <c r="BV63" i="17"/>
  <c r="BU63" i="17"/>
  <c r="BS63" i="17"/>
  <c r="BR63" i="17"/>
  <c r="BP63" i="17"/>
  <c r="BO63" i="17"/>
  <c r="BM63" i="17"/>
  <c r="BL63" i="17"/>
  <c r="BJ63" i="17"/>
  <c r="BI63" i="17"/>
  <c r="BG63" i="17"/>
  <c r="BF63" i="17"/>
  <c r="BD63" i="17"/>
  <c r="BC63" i="17"/>
  <c r="BA63" i="17"/>
  <c r="AZ63" i="17"/>
  <c r="AX63" i="17"/>
  <c r="AW63" i="17"/>
  <c r="AU63" i="17"/>
  <c r="AT63" i="17"/>
  <c r="AR63" i="17"/>
  <c r="AQ63" i="17"/>
  <c r="AO63" i="17"/>
  <c r="AN63" i="17"/>
  <c r="AL63" i="17"/>
  <c r="AK63" i="17"/>
  <c r="AI63" i="17"/>
  <c r="AH63" i="17"/>
  <c r="AF63" i="17"/>
  <c r="AE63" i="17"/>
  <c r="AC63" i="17"/>
  <c r="AB63" i="17"/>
  <c r="Z63" i="17"/>
  <c r="Y63" i="17"/>
  <c r="W63" i="17"/>
  <c r="V63" i="17"/>
  <c r="T63" i="17"/>
  <c r="S63" i="17"/>
  <c r="Q63" i="17"/>
  <c r="P63" i="17"/>
  <c r="N63" i="17"/>
  <c r="M63" i="17"/>
  <c r="K63" i="17"/>
  <c r="J63" i="17"/>
  <c r="H63" i="17"/>
  <c r="CA62" i="17"/>
  <c r="CA66" i="17" s="1"/>
  <c r="BY62" i="17"/>
  <c r="BX62" i="17"/>
  <c r="BX66" i="17" s="1"/>
  <c r="BV62" i="17"/>
  <c r="BU62" i="17"/>
  <c r="BU66" i="17" s="1"/>
  <c r="BS62" i="17"/>
  <c r="BR62" i="17"/>
  <c r="BR66" i="17" s="1"/>
  <c r="BP62" i="17"/>
  <c r="BO62" i="17"/>
  <c r="BO66" i="17" s="1"/>
  <c r="BM62" i="17"/>
  <c r="BL62" i="17"/>
  <c r="BL66" i="17" s="1"/>
  <c r="BJ62" i="17"/>
  <c r="BI62" i="17"/>
  <c r="BI66" i="17" s="1"/>
  <c r="BG62" i="17"/>
  <c r="BF62" i="17"/>
  <c r="BF66" i="17" s="1"/>
  <c r="BD62" i="17"/>
  <c r="BC62" i="17"/>
  <c r="BC66" i="17" s="1"/>
  <c r="BA62" i="17"/>
  <c r="AZ62" i="17"/>
  <c r="AZ66" i="17" s="1"/>
  <c r="AX62" i="17"/>
  <c r="AW62" i="17"/>
  <c r="AW66" i="17" s="1"/>
  <c r="AU62" i="17"/>
  <c r="AT62" i="17"/>
  <c r="AT66" i="17" s="1"/>
  <c r="AR62" i="17"/>
  <c r="AQ62" i="17"/>
  <c r="AQ66" i="17" s="1"/>
  <c r="AO62" i="17"/>
  <c r="AN62" i="17"/>
  <c r="AN66" i="17" s="1"/>
  <c r="AL62" i="17"/>
  <c r="AK62" i="17"/>
  <c r="AI62" i="17"/>
  <c r="AH62" i="17"/>
  <c r="AF62" i="17"/>
  <c r="AE62" i="17"/>
  <c r="AC62" i="17"/>
  <c r="AB62" i="17"/>
  <c r="Z62" i="17"/>
  <c r="Y62" i="17"/>
  <c r="W62" i="17"/>
  <c r="V62" i="17"/>
  <c r="T62" i="17"/>
  <c r="S62" i="17"/>
  <c r="Q62" i="17"/>
  <c r="P62" i="17"/>
  <c r="N62" i="17"/>
  <c r="M62" i="17"/>
  <c r="K62" i="17"/>
  <c r="J62" i="17"/>
  <c r="H62" i="17"/>
  <c r="CA61" i="17"/>
  <c r="CA68" i="17" s="1"/>
  <c r="BY61" i="17"/>
  <c r="BX61" i="17"/>
  <c r="BX68" i="17" s="1"/>
  <c r="BV61" i="17"/>
  <c r="BU61" i="17"/>
  <c r="BU68" i="17" s="1"/>
  <c r="BS61" i="17"/>
  <c r="BR61" i="17"/>
  <c r="BR68" i="17" s="1"/>
  <c r="BP61" i="17"/>
  <c r="BO61" i="17"/>
  <c r="BO68" i="17" s="1"/>
  <c r="BM61" i="17"/>
  <c r="BL61" i="17"/>
  <c r="BL68" i="17" s="1"/>
  <c r="BJ61" i="17"/>
  <c r="BI61" i="17"/>
  <c r="BI68" i="17" s="1"/>
  <c r="BG61" i="17"/>
  <c r="BF61" i="17"/>
  <c r="BF68" i="17" s="1"/>
  <c r="BD61" i="17"/>
  <c r="BC61" i="17"/>
  <c r="BC68" i="17" s="1"/>
  <c r="BA61" i="17"/>
  <c r="AZ61" i="17"/>
  <c r="AZ68" i="17" s="1"/>
  <c r="AX61" i="17"/>
  <c r="AW61" i="17"/>
  <c r="AW68" i="17" s="1"/>
  <c r="AU61" i="17"/>
  <c r="AT61" i="17"/>
  <c r="AT68" i="17" s="1"/>
  <c r="AR61" i="17"/>
  <c r="AQ61" i="17"/>
  <c r="AQ68" i="17" s="1"/>
  <c r="AO61" i="17"/>
  <c r="AN61" i="17"/>
  <c r="AN68" i="17" s="1"/>
  <c r="AL61" i="17"/>
  <c r="AK61" i="17"/>
  <c r="AK68" i="17" s="1"/>
  <c r="AI61" i="17"/>
  <c r="AI68" i="17" s="1"/>
  <c r="AH61" i="17"/>
  <c r="AH68" i="17" s="1"/>
  <c r="AG69" i="17" s="1"/>
  <c r="AF61" i="17"/>
  <c r="AF68" i="17" s="1"/>
  <c r="AE61" i="17"/>
  <c r="AE68" i="17" s="1"/>
  <c r="AD69" i="17" s="1"/>
  <c r="AC61" i="17"/>
  <c r="AC68" i="17" s="1"/>
  <c r="AB61" i="17"/>
  <c r="AB68" i="17" s="1"/>
  <c r="Z61" i="17"/>
  <c r="Z68" i="17" s="1"/>
  <c r="Y61" i="17"/>
  <c r="Y68" i="17" s="1"/>
  <c r="X69" i="17" s="1"/>
  <c r="W61" i="17"/>
  <c r="W68" i="17" s="1"/>
  <c r="V61" i="17"/>
  <c r="V68" i="17" s="1"/>
  <c r="U69" i="17" s="1"/>
  <c r="T61" i="17"/>
  <c r="T68" i="17" s="1"/>
  <c r="S61" i="17"/>
  <c r="S68" i="17" s="1"/>
  <c r="Q61" i="17"/>
  <c r="Q68" i="17" s="1"/>
  <c r="P61" i="17"/>
  <c r="P68" i="17" s="1"/>
  <c r="O69" i="17" s="1"/>
  <c r="N61" i="17"/>
  <c r="N68" i="17" s="1"/>
  <c r="M61" i="17"/>
  <c r="M68" i="17" s="1"/>
  <c r="L69" i="17" s="1"/>
  <c r="K61" i="17"/>
  <c r="K68" i="17" s="1"/>
  <c r="J61" i="17"/>
  <c r="J68" i="17" s="1"/>
  <c r="H61" i="17"/>
  <c r="H68" i="17" s="1"/>
  <c r="CA58" i="17"/>
  <c r="BY58" i="17"/>
  <c r="BX58" i="17"/>
  <c r="BV58" i="17"/>
  <c r="BU58" i="17"/>
  <c r="BS58" i="17"/>
  <c r="BR58" i="17"/>
  <c r="BP58" i="17"/>
  <c r="BO58" i="17"/>
  <c r="BM58" i="17"/>
  <c r="BL58" i="17"/>
  <c r="BJ58" i="17"/>
  <c r="BI58" i="17"/>
  <c r="BG58" i="17"/>
  <c r="BF58" i="17"/>
  <c r="BD58" i="17"/>
  <c r="BC58" i="17"/>
  <c r="BA58" i="17"/>
  <c r="AZ58" i="17"/>
  <c r="AX58" i="17"/>
  <c r="AW58" i="17"/>
  <c r="AU58" i="17"/>
  <c r="AT58" i="17"/>
  <c r="AR58" i="17"/>
  <c r="AQ58" i="17"/>
  <c r="AO58" i="17"/>
  <c r="AN58" i="17"/>
  <c r="AL58" i="17"/>
  <c r="AK58" i="17"/>
  <c r="AI58" i="17"/>
  <c r="AH58" i="17"/>
  <c r="AF58" i="17"/>
  <c r="AE58" i="17"/>
  <c r="AC58" i="17"/>
  <c r="AB58" i="17"/>
  <c r="Z58" i="17"/>
  <c r="Y58" i="17"/>
  <c r="W58" i="17"/>
  <c r="V58" i="17"/>
  <c r="T58" i="17"/>
  <c r="S58" i="17"/>
  <c r="Q58" i="17"/>
  <c r="P58" i="17"/>
  <c r="N58" i="17"/>
  <c r="M58" i="17"/>
  <c r="K58" i="17"/>
  <c r="J58" i="17"/>
  <c r="H58" i="17"/>
  <c r="CA57" i="17"/>
  <c r="BY57" i="17"/>
  <c r="BX57" i="17"/>
  <c r="BV57" i="17"/>
  <c r="BU57" i="17"/>
  <c r="BS57" i="17"/>
  <c r="BR57" i="17"/>
  <c r="BP57" i="17"/>
  <c r="BO57" i="17"/>
  <c r="BM57" i="17"/>
  <c r="BL57" i="17"/>
  <c r="BJ57" i="17"/>
  <c r="BI57" i="17"/>
  <c r="BG57" i="17"/>
  <c r="BF57" i="17"/>
  <c r="BD57" i="17"/>
  <c r="BC57" i="17"/>
  <c r="BA57" i="17"/>
  <c r="AZ57" i="17"/>
  <c r="AX57" i="17"/>
  <c r="AW57" i="17"/>
  <c r="AU57" i="17"/>
  <c r="AT57" i="17"/>
  <c r="AR57" i="17"/>
  <c r="AQ57" i="17"/>
  <c r="AO57" i="17"/>
  <c r="AN57" i="17"/>
  <c r="AL57" i="17"/>
  <c r="AK57" i="17"/>
  <c r="AI57" i="17"/>
  <c r="AH57" i="17"/>
  <c r="AF57" i="17"/>
  <c r="AE57" i="17"/>
  <c r="AC57" i="17"/>
  <c r="AB57" i="17"/>
  <c r="Z57" i="17"/>
  <c r="Y57" i="17"/>
  <c r="W57" i="17"/>
  <c r="V57" i="17"/>
  <c r="T57" i="17"/>
  <c r="S57" i="17"/>
  <c r="Q57" i="17"/>
  <c r="P57" i="17"/>
  <c r="N57" i="17"/>
  <c r="M57" i="17"/>
  <c r="K57" i="17"/>
  <c r="J57" i="17"/>
  <c r="H57" i="17"/>
  <c r="CA53" i="17"/>
  <c r="BZ53" i="17"/>
  <c r="BX53" i="17"/>
  <c r="BW53" i="17"/>
  <c r="BU53" i="17"/>
  <c r="BT53" i="17"/>
  <c r="BR53" i="17"/>
  <c r="BQ53" i="17"/>
  <c r="BO53" i="17"/>
  <c r="BN53" i="17"/>
  <c r="BL53" i="17"/>
  <c r="BK53" i="17"/>
  <c r="BI53" i="17"/>
  <c r="BH53" i="17"/>
  <c r="BF53" i="17"/>
  <c r="BE53" i="17"/>
  <c r="BC53" i="17"/>
  <c r="BB53" i="17"/>
  <c r="AZ53" i="17"/>
  <c r="AY53" i="17"/>
  <c r="AW53" i="17"/>
  <c r="AV53" i="17"/>
  <c r="AT53" i="17"/>
  <c r="AS53" i="17"/>
  <c r="AQ53" i="17"/>
  <c r="AP53" i="17"/>
  <c r="AN53" i="17"/>
  <c r="AM53" i="17"/>
  <c r="AK53" i="17"/>
  <c r="AJ53" i="17"/>
  <c r="AH53" i="17"/>
  <c r="AG53" i="17"/>
  <c r="AE53" i="17"/>
  <c r="AD53" i="17"/>
  <c r="AB53" i="17"/>
  <c r="AA53" i="17"/>
  <c r="Y53" i="17"/>
  <c r="X53" i="17"/>
  <c r="V53" i="17"/>
  <c r="U53" i="17"/>
  <c r="S53" i="17"/>
  <c r="R53" i="17"/>
  <c r="P53" i="17"/>
  <c r="O53" i="17"/>
  <c r="M53" i="17"/>
  <c r="L53" i="17"/>
  <c r="J53" i="17"/>
  <c r="I53" i="17"/>
  <c r="CA52" i="17"/>
  <c r="CA54" i="17" s="1"/>
  <c r="BZ52" i="17"/>
  <c r="BZ54" i="17" s="1"/>
  <c r="BX52" i="17"/>
  <c r="BX54" i="17" s="1"/>
  <c r="BW52" i="17"/>
  <c r="BW54" i="17" s="1"/>
  <c r="BU52" i="17"/>
  <c r="BU54" i="17" s="1"/>
  <c r="BT52" i="17"/>
  <c r="BT54" i="17" s="1"/>
  <c r="BR52" i="17"/>
  <c r="BR54" i="17" s="1"/>
  <c r="BQ52" i="17"/>
  <c r="BQ54" i="17" s="1"/>
  <c r="BO52" i="17"/>
  <c r="BO54" i="17" s="1"/>
  <c r="BN52" i="17"/>
  <c r="BN54" i="17" s="1"/>
  <c r="BL52" i="17"/>
  <c r="BL54" i="17" s="1"/>
  <c r="BK52" i="17"/>
  <c r="BK54" i="17" s="1"/>
  <c r="BI52" i="17"/>
  <c r="BI54" i="17" s="1"/>
  <c r="BH52" i="17"/>
  <c r="BH54" i="17" s="1"/>
  <c r="BF52" i="17"/>
  <c r="BF54" i="17" s="1"/>
  <c r="BE52" i="17"/>
  <c r="BE54" i="17" s="1"/>
  <c r="BC52" i="17"/>
  <c r="BC54" i="17" s="1"/>
  <c r="BB52" i="17"/>
  <c r="BB54" i="17" s="1"/>
  <c r="AZ52" i="17"/>
  <c r="AZ54" i="17" s="1"/>
  <c r="AY52" i="17"/>
  <c r="AY54" i="17" s="1"/>
  <c r="AW52" i="17"/>
  <c r="AW54" i="17" s="1"/>
  <c r="AV52" i="17"/>
  <c r="AV54" i="17" s="1"/>
  <c r="AT52" i="17"/>
  <c r="AT54" i="17" s="1"/>
  <c r="AS52" i="17"/>
  <c r="AS54" i="17" s="1"/>
  <c r="AQ52" i="17"/>
  <c r="AQ54" i="17" s="1"/>
  <c r="AP52" i="17"/>
  <c r="AP54" i="17" s="1"/>
  <c r="AN52" i="17"/>
  <c r="AN54" i="17" s="1"/>
  <c r="AM52" i="17"/>
  <c r="AM54" i="17" s="1"/>
  <c r="AK52" i="17"/>
  <c r="AK54" i="17" s="1"/>
  <c r="AJ52" i="17"/>
  <c r="AJ54" i="17" s="1"/>
  <c r="AH52" i="17"/>
  <c r="AH54" i="17" s="1"/>
  <c r="AG52" i="17"/>
  <c r="AG54" i="17" s="1"/>
  <c r="AE52" i="17"/>
  <c r="AE54" i="17" s="1"/>
  <c r="AD52" i="17"/>
  <c r="AD54" i="17" s="1"/>
  <c r="AB52" i="17"/>
  <c r="AB54" i="17" s="1"/>
  <c r="AA52" i="17"/>
  <c r="AA54" i="17" s="1"/>
  <c r="Y52" i="17"/>
  <c r="Y54" i="17" s="1"/>
  <c r="X52" i="17"/>
  <c r="X54" i="17" s="1"/>
  <c r="V52" i="17"/>
  <c r="V54" i="17" s="1"/>
  <c r="U52" i="17"/>
  <c r="U54" i="17" s="1"/>
  <c r="S52" i="17"/>
  <c r="S54" i="17" s="1"/>
  <c r="R52" i="17"/>
  <c r="R54" i="17" s="1"/>
  <c r="P52" i="17"/>
  <c r="P54" i="17" s="1"/>
  <c r="O52" i="17"/>
  <c r="O54" i="17" s="1"/>
  <c r="M52" i="17"/>
  <c r="M54" i="17" s="1"/>
  <c r="L52" i="17"/>
  <c r="L54" i="17" s="1"/>
  <c r="J52" i="17"/>
  <c r="J54" i="17" s="1"/>
  <c r="I52" i="17"/>
  <c r="I54" i="17" s="1"/>
  <c r="CC51" i="17"/>
  <c r="CB51" i="17"/>
  <c r="BY51" i="17"/>
  <c r="BV51" i="17"/>
  <c r="BS51" i="17"/>
  <c r="BP51" i="17"/>
  <c r="BM51" i="17"/>
  <c r="BJ51" i="17"/>
  <c r="BG51" i="17"/>
  <c r="BD51" i="17"/>
  <c r="BA51" i="17"/>
  <c r="AX51" i="17"/>
  <c r="AU51" i="17"/>
  <c r="AR51" i="17"/>
  <c r="AO51" i="17"/>
  <c r="AL51" i="17"/>
  <c r="AI51" i="17"/>
  <c r="AF51" i="17"/>
  <c r="AC51" i="17"/>
  <c r="Z51" i="17"/>
  <c r="W51" i="17"/>
  <c r="T51" i="17"/>
  <c r="Q51" i="17"/>
  <c r="N51" i="17"/>
  <c r="K51" i="17"/>
  <c r="H51" i="17"/>
  <c r="CC50" i="17"/>
  <c r="CB50" i="17"/>
  <c r="BY50" i="17"/>
  <c r="BV50" i="17"/>
  <c r="BS50" i="17"/>
  <c r="BP50" i="17"/>
  <c r="BM50" i="17"/>
  <c r="BJ50" i="17"/>
  <c r="BG50" i="17"/>
  <c r="BD50" i="17"/>
  <c r="BA50" i="17"/>
  <c r="AX50" i="17"/>
  <c r="AU50" i="17"/>
  <c r="AR50" i="17"/>
  <c r="AO50" i="17"/>
  <c r="AL50" i="17"/>
  <c r="AI50" i="17"/>
  <c r="AF50" i="17"/>
  <c r="AC50" i="17"/>
  <c r="Z50" i="17"/>
  <c r="W50" i="17"/>
  <c r="T50" i="17"/>
  <c r="Q50" i="17"/>
  <c r="N50" i="17"/>
  <c r="K50" i="17"/>
  <c r="H50" i="17"/>
  <c r="CC49" i="17"/>
  <c r="CB49" i="17"/>
  <c r="BY49" i="17"/>
  <c r="BV49" i="17"/>
  <c r="BS49" i="17"/>
  <c r="BP49" i="17"/>
  <c r="BM49" i="17"/>
  <c r="BJ49" i="17"/>
  <c r="BG49" i="17"/>
  <c r="BD49" i="17"/>
  <c r="BA49" i="17"/>
  <c r="AX49" i="17"/>
  <c r="AU49" i="17"/>
  <c r="AR49" i="17"/>
  <c r="AO49" i="17"/>
  <c r="AL49" i="17"/>
  <c r="AI49" i="17"/>
  <c r="AF49" i="17"/>
  <c r="AC49" i="17"/>
  <c r="Z49" i="17"/>
  <c r="W49" i="17"/>
  <c r="T49" i="17"/>
  <c r="Q49" i="17"/>
  <c r="N49" i="17"/>
  <c r="K49" i="17"/>
  <c r="H49" i="17"/>
  <c r="CC48" i="17"/>
  <c r="CB48" i="17"/>
  <c r="BY48" i="17"/>
  <c r="BV48" i="17"/>
  <c r="BS48" i="17"/>
  <c r="BP48" i="17"/>
  <c r="BM48" i="17"/>
  <c r="BJ48" i="17"/>
  <c r="BG48" i="17"/>
  <c r="BD48" i="17"/>
  <c r="BA48" i="17"/>
  <c r="AX48" i="17"/>
  <c r="AU48" i="17"/>
  <c r="AR48" i="17"/>
  <c r="AO48" i="17"/>
  <c r="AL48" i="17"/>
  <c r="AI48" i="17"/>
  <c r="AF48" i="17"/>
  <c r="AC48" i="17"/>
  <c r="Z48" i="17"/>
  <c r="W48" i="17"/>
  <c r="T48" i="17"/>
  <c r="Q48" i="17"/>
  <c r="N48" i="17"/>
  <c r="K48" i="17"/>
  <c r="H48" i="17"/>
  <c r="CC47" i="17"/>
  <c r="CB47" i="17"/>
  <c r="BY47" i="17"/>
  <c r="BV47" i="17"/>
  <c r="BS47" i="17"/>
  <c r="BP47" i="17"/>
  <c r="BM47" i="17"/>
  <c r="BM53" i="17" s="1"/>
  <c r="BJ47" i="17"/>
  <c r="BJ53" i="17" s="1"/>
  <c r="BG47" i="17"/>
  <c r="BD47" i="17"/>
  <c r="BA47" i="17"/>
  <c r="AX47" i="17"/>
  <c r="AU47" i="17"/>
  <c r="AU53" i="17" s="1"/>
  <c r="AR47" i="17"/>
  <c r="AR53" i="17" s="1"/>
  <c r="AO47" i="17"/>
  <c r="AL47" i="17"/>
  <c r="AI47" i="17"/>
  <c r="AF47" i="17"/>
  <c r="AC47" i="17"/>
  <c r="AC53" i="17" s="1"/>
  <c r="Z47" i="17"/>
  <c r="Z53" i="17" s="1"/>
  <c r="W47" i="17"/>
  <c r="T47" i="17"/>
  <c r="Q47" i="17"/>
  <c r="N47" i="17"/>
  <c r="K47" i="17"/>
  <c r="K53" i="17" s="1"/>
  <c r="H47" i="17"/>
  <c r="H53" i="17" s="1"/>
  <c r="CC46" i="17"/>
  <c r="CB46" i="17"/>
  <c r="BY46" i="17"/>
  <c r="BV46" i="17"/>
  <c r="BS46" i="17"/>
  <c r="BS52" i="17" s="1"/>
  <c r="BP46" i="17"/>
  <c r="BP52" i="17" s="1"/>
  <c r="BM46" i="17"/>
  <c r="BJ46" i="17"/>
  <c r="BG46" i="17"/>
  <c r="BD46" i="17"/>
  <c r="BA46" i="17"/>
  <c r="BA52" i="17" s="1"/>
  <c r="AX46" i="17"/>
  <c r="AX52" i="17" s="1"/>
  <c r="AU46" i="17"/>
  <c r="AR46" i="17"/>
  <c r="AO46" i="17"/>
  <c r="AL46" i="17"/>
  <c r="AI46" i="17"/>
  <c r="AI52" i="17" s="1"/>
  <c r="AF46" i="17"/>
  <c r="AF52" i="17" s="1"/>
  <c r="AC46" i="17"/>
  <c r="Z46" i="17"/>
  <c r="W46" i="17"/>
  <c r="T46" i="17"/>
  <c r="Q46" i="17"/>
  <c r="Q52" i="17" s="1"/>
  <c r="N46" i="17"/>
  <c r="N52" i="17" s="1"/>
  <c r="K46" i="17"/>
  <c r="H46" i="17"/>
  <c r="CC45" i="17"/>
  <c r="CB45" i="17"/>
  <c r="BY45" i="17"/>
  <c r="BY53" i="17" s="1"/>
  <c r="BV45" i="17"/>
  <c r="BS45" i="17"/>
  <c r="BP45" i="17"/>
  <c r="BM45" i="17"/>
  <c r="BJ45" i="17"/>
  <c r="BG45" i="17"/>
  <c r="BG53" i="17" s="1"/>
  <c r="BD45" i="17"/>
  <c r="BA45" i="17"/>
  <c r="AX45" i="17"/>
  <c r="AU45" i="17"/>
  <c r="AR45" i="17"/>
  <c r="AO45" i="17"/>
  <c r="AO53" i="17" s="1"/>
  <c r="AL45" i="17"/>
  <c r="AI45" i="17"/>
  <c r="AF45" i="17"/>
  <c r="AC45" i="17"/>
  <c r="Z45" i="17"/>
  <c r="W45" i="17"/>
  <c r="W53" i="17" s="1"/>
  <c r="T45" i="17"/>
  <c r="Q45" i="17"/>
  <c r="N45" i="17"/>
  <c r="K45" i="17"/>
  <c r="H45" i="17"/>
  <c r="CC44" i="17"/>
  <c r="CB44" i="17"/>
  <c r="BY44" i="17"/>
  <c r="BV44" i="17"/>
  <c r="BS44" i="17"/>
  <c r="BP44" i="17"/>
  <c r="BM44" i="17"/>
  <c r="BM52" i="17" s="1"/>
  <c r="BM54" i="17" s="1"/>
  <c r="BJ44" i="17"/>
  <c r="BG44" i="17"/>
  <c r="BD44" i="17"/>
  <c r="BA44" i="17"/>
  <c r="AX44" i="17"/>
  <c r="AU44" i="17"/>
  <c r="AU52" i="17" s="1"/>
  <c r="AU54" i="17" s="1"/>
  <c r="AR44" i="17"/>
  <c r="AO44" i="17"/>
  <c r="AL44" i="17"/>
  <c r="AI44" i="17"/>
  <c r="AF44" i="17"/>
  <c r="AC44" i="17"/>
  <c r="AC52" i="17" s="1"/>
  <c r="AC54" i="17" s="1"/>
  <c r="Z44" i="17"/>
  <c r="W44" i="17"/>
  <c r="T44" i="17"/>
  <c r="Q44" i="17"/>
  <c r="N44" i="17"/>
  <c r="K44" i="17"/>
  <c r="K52" i="17" s="1"/>
  <c r="K54" i="17" s="1"/>
  <c r="H44" i="17"/>
  <c r="CA40" i="17"/>
  <c r="BZ40" i="17"/>
  <c r="BX40" i="17"/>
  <c r="BW40" i="17"/>
  <c r="BU40" i="17"/>
  <c r="BT40" i="17"/>
  <c r="BR40" i="17"/>
  <c r="BQ40" i="17"/>
  <c r="BO40" i="17"/>
  <c r="BN40" i="17"/>
  <c r="BL40" i="17"/>
  <c r="BK40" i="17"/>
  <c r="BI40" i="17"/>
  <c r="BH40" i="17"/>
  <c r="BF40" i="17"/>
  <c r="BE40" i="17"/>
  <c r="BC40" i="17"/>
  <c r="BB40" i="17"/>
  <c r="AZ40" i="17"/>
  <c r="AY40" i="17"/>
  <c r="AW40" i="17"/>
  <c r="AV40" i="17"/>
  <c r="AT40" i="17"/>
  <c r="AS40" i="17"/>
  <c r="AQ40" i="17"/>
  <c r="AP40" i="17"/>
  <c r="AN40" i="17"/>
  <c r="AM40" i="17"/>
  <c r="AK40" i="17"/>
  <c r="AJ40" i="17"/>
  <c r="AH40" i="17"/>
  <c r="AG40" i="17"/>
  <c r="AE40" i="17"/>
  <c r="AD40" i="17"/>
  <c r="AB40" i="17"/>
  <c r="AA40" i="17"/>
  <c r="Y40" i="17"/>
  <c r="X40" i="17"/>
  <c r="V40" i="17"/>
  <c r="U40" i="17"/>
  <c r="S40" i="17"/>
  <c r="R40" i="17"/>
  <c r="P40" i="17"/>
  <c r="O40" i="17"/>
  <c r="M40" i="17"/>
  <c r="L40" i="17"/>
  <c r="J40" i="17"/>
  <c r="I40" i="17"/>
  <c r="CA39" i="17"/>
  <c r="CA41" i="17" s="1"/>
  <c r="BZ39" i="17"/>
  <c r="BZ41" i="17" s="1"/>
  <c r="BX39" i="17"/>
  <c r="BX41" i="17" s="1"/>
  <c r="BW39" i="17"/>
  <c r="BW41" i="17" s="1"/>
  <c r="BU39" i="17"/>
  <c r="BU41" i="17" s="1"/>
  <c r="BT39" i="17"/>
  <c r="BT41" i="17" s="1"/>
  <c r="BR39" i="17"/>
  <c r="BR41" i="17" s="1"/>
  <c r="BQ39" i="17"/>
  <c r="BQ41" i="17" s="1"/>
  <c r="BO39" i="17"/>
  <c r="BN39" i="17"/>
  <c r="BN41" i="17" s="1"/>
  <c r="BL39" i="17"/>
  <c r="BK39" i="17"/>
  <c r="BI39" i="17"/>
  <c r="BI41" i="17" s="1"/>
  <c r="BH39" i="17"/>
  <c r="BH41" i="17" s="1"/>
  <c r="BF39" i="17"/>
  <c r="BE39" i="17"/>
  <c r="BE41" i="17" s="1"/>
  <c r="BC39" i="17"/>
  <c r="BB39" i="17"/>
  <c r="AZ39" i="17"/>
  <c r="AZ41" i="17" s="1"/>
  <c r="AY39" i="17"/>
  <c r="AY41" i="17" s="1"/>
  <c r="AW39" i="17"/>
  <c r="AW41" i="17" s="1"/>
  <c r="AV39" i="17"/>
  <c r="AV41" i="17" s="1"/>
  <c r="AT39" i="17"/>
  <c r="AS39" i="17"/>
  <c r="AQ39" i="17"/>
  <c r="AQ41" i="17" s="1"/>
  <c r="AP39" i="17"/>
  <c r="AP41" i="17" s="1"/>
  <c r="AN39" i="17"/>
  <c r="AN41" i="17" s="1"/>
  <c r="AM39" i="17"/>
  <c r="AM41" i="17" s="1"/>
  <c r="AK39" i="17"/>
  <c r="AJ39" i="17"/>
  <c r="AH39" i="17"/>
  <c r="AH41" i="17" s="1"/>
  <c r="AG39" i="17"/>
  <c r="AG41" i="17" s="1"/>
  <c r="AE39" i="17"/>
  <c r="AD39" i="17"/>
  <c r="AD41" i="17" s="1"/>
  <c r="AB39" i="17"/>
  <c r="AA39" i="17"/>
  <c r="AA41" i="17" s="1"/>
  <c r="Y39" i="17"/>
  <c r="Y41" i="17" s="1"/>
  <c r="X39" i="17"/>
  <c r="X41" i="17" s="1"/>
  <c r="V39" i="17"/>
  <c r="U39" i="17"/>
  <c r="U41" i="17" s="1"/>
  <c r="S39" i="17"/>
  <c r="R39" i="17"/>
  <c r="R41" i="17" s="1"/>
  <c r="P39" i="17"/>
  <c r="P41" i="17" s="1"/>
  <c r="O39" i="17"/>
  <c r="O41" i="17" s="1"/>
  <c r="M39" i="17"/>
  <c r="L39" i="17"/>
  <c r="L41" i="17" s="1"/>
  <c r="J39" i="17"/>
  <c r="I39" i="17"/>
  <c r="CC38" i="17"/>
  <c r="CB38" i="17"/>
  <c r="BY38" i="17"/>
  <c r="BV38" i="17"/>
  <c r="BS38" i="17"/>
  <c r="BP38" i="17"/>
  <c r="BM38" i="17"/>
  <c r="BJ38" i="17"/>
  <c r="BG38" i="17"/>
  <c r="BD38" i="17"/>
  <c r="BA38" i="17"/>
  <c r="AX38" i="17"/>
  <c r="AU38" i="17"/>
  <c r="AR38" i="17"/>
  <c r="AO38" i="17"/>
  <c r="AL38" i="17"/>
  <c r="AI38" i="17"/>
  <c r="AF38" i="17"/>
  <c r="AC38" i="17"/>
  <c r="Z38" i="17"/>
  <c r="W38" i="17"/>
  <c r="T38" i="17"/>
  <c r="Q38" i="17"/>
  <c r="N38" i="17"/>
  <c r="K38" i="17"/>
  <c r="H38" i="17"/>
  <c r="CC37" i="17"/>
  <c r="CB37" i="17"/>
  <c r="BY37" i="17"/>
  <c r="BV37" i="17"/>
  <c r="BS37" i="17"/>
  <c r="BP37" i="17"/>
  <c r="BM37" i="17"/>
  <c r="BJ37" i="17"/>
  <c r="BG37" i="17"/>
  <c r="BD37" i="17"/>
  <c r="BA37" i="17"/>
  <c r="AX37" i="17"/>
  <c r="AU37" i="17"/>
  <c r="AR37" i="17"/>
  <c r="AO37" i="17"/>
  <c r="AL37" i="17"/>
  <c r="AI37" i="17"/>
  <c r="AF37" i="17"/>
  <c r="AC37" i="17"/>
  <c r="Z37" i="17"/>
  <c r="W37" i="17"/>
  <c r="T37" i="17"/>
  <c r="Q37" i="17"/>
  <c r="N37" i="17"/>
  <c r="K37" i="17"/>
  <c r="H37" i="17"/>
  <c r="BY36" i="17"/>
  <c r="BV36" i="17"/>
  <c r="BS36" i="17"/>
  <c r="BP36" i="17"/>
  <c r="BM36" i="17"/>
  <c r="BJ36" i="17"/>
  <c r="BG36" i="17"/>
  <c r="BD36" i="17"/>
  <c r="BA36" i="17"/>
  <c r="AX36" i="17"/>
  <c r="AU36" i="17"/>
  <c r="AR36" i="17"/>
  <c r="AO36" i="17"/>
  <c r="AL36" i="17"/>
  <c r="AI36" i="17"/>
  <c r="AF36" i="17"/>
  <c r="AC36" i="17"/>
  <c r="Z36" i="17"/>
  <c r="W36" i="17"/>
  <c r="T36" i="17"/>
  <c r="Q36" i="17"/>
  <c r="N36" i="17"/>
  <c r="K36" i="17"/>
  <c r="H36" i="17"/>
  <c r="BY35" i="17"/>
  <c r="BV35" i="17"/>
  <c r="BS35" i="17"/>
  <c r="BP35" i="17"/>
  <c r="BM35" i="17"/>
  <c r="BJ35" i="17"/>
  <c r="BG35" i="17"/>
  <c r="BD35" i="17"/>
  <c r="BA35" i="17"/>
  <c r="AX35" i="17"/>
  <c r="AU35" i="17"/>
  <c r="AR35" i="17"/>
  <c r="AO35" i="17"/>
  <c r="AL35" i="17"/>
  <c r="AI35" i="17"/>
  <c r="AF35" i="17"/>
  <c r="AC35" i="17"/>
  <c r="Z35" i="17"/>
  <c r="W35" i="17"/>
  <c r="T35" i="17"/>
  <c r="Q35" i="17"/>
  <c r="N35" i="17"/>
  <c r="K35" i="17"/>
  <c r="H35" i="17"/>
  <c r="BY34" i="17"/>
  <c r="BV34" i="17"/>
  <c r="BS34" i="17"/>
  <c r="BP34" i="17"/>
  <c r="BM34" i="17"/>
  <c r="BJ34" i="17"/>
  <c r="BG34" i="17"/>
  <c r="BD34" i="17"/>
  <c r="BA34" i="17"/>
  <c r="AX34" i="17"/>
  <c r="AU34" i="17"/>
  <c r="AR34" i="17"/>
  <c r="AO34" i="17"/>
  <c r="AL34" i="17"/>
  <c r="AI34" i="17"/>
  <c r="AF34" i="17"/>
  <c r="AC34" i="17"/>
  <c r="Z34" i="17"/>
  <c r="W34" i="17"/>
  <c r="T34" i="17"/>
  <c r="Q34" i="17"/>
  <c r="N34" i="17"/>
  <c r="K34" i="17"/>
  <c r="H34" i="17"/>
  <c r="BY33" i="17"/>
  <c r="BV33" i="17"/>
  <c r="BS33" i="17"/>
  <c r="BP33" i="17"/>
  <c r="BM33" i="17"/>
  <c r="BJ33" i="17"/>
  <c r="BG33" i="17"/>
  <c r="BD33" i="17"/>
  <c r="BA33" i="17"/>
  <c r="AX33" i="17"/>
  <c r="AU33" i="17"/>
  <c r="AR33" i="17"/>
  <c r="AO33" i="17"/>
  <c r="AL33" i="17"/>
  <c r="AI33" i="17"/>
  <c r="AF33" i="17"/>
  <c r="AC33" i="17"/>
  <c r="Z33" i="17"/>
  <c r="W33" i="17"/>
  <c r="T33" i="17"/>
  <c r="Q33" i="17"/>
  <c r="N33" i="17"/>
  <c r="K33" i="17"/>
  <c r="H33" i="17"/>
  <c r="CA27" i="17"/>
  <c r="BZ27" i="17"/>
  <c r="BX27" i="17"/>
  <c r="BW27" i="17"/>
  <c r="BU27" i="17"/>
  <c r="BT27" i="17"/>
  <c r="BS27" i="17"/>
  <c r="BR27" i="17"/>
  <c r="BQ27" i="17"/>
  <c r="BO27" i="17"/>
  <c r="BN27" i="17"/>
  <c r="BL27" i="17"/>
  <c r="BK27" i="17"/>
  <c r="BI27" i="17"/>
  <c r="BH27" i="17"/>
  <c r="BF27" i="17"/>
  <c r="BE27" i="17"/>
  <c r="BD27" i="17"/>
  <c r="BC27" i="17"/>
  <c r="BB27" i="17"/>
  <c r="AZ27" i="17"/>
  <c r="AY27" i="17"/>
  <c r="AW27" i="17"/>
  <c r="AV27" i="17"/>
  <c r="AT27" i="17"/>
  <c r="AS27" i="17"/>
  <c r="AQ27" i="17"/>
  <c r="AP27" i="17"/>
  <c r="AN27" i="17"/>
  <c r="AM27" i="17"/>
  <c r="AK27" i="17"/>
  <c r="AJ27" i="17"/>
  <c r="AI27" i="17"/>
  <c r="AH27" i="17"/>
  <c r="AG27" i="17"/>
  <c r="AE27" i="17"/>
  <c r="AD27" i="17"/>
  <c r="AB27" i="17"/>
  <c r="AA27" i="17"/>
  <c r="Y27" i="17"/>
  <c r="X27" i="17"/>
  <c r="V27" i="17"/>
  <c r="U27" i="17"/>
  <c r="T27" i="17"/>
  <c r="S27" i="17"/>
  <c r="R27" i="17"/>
  <c r="P27" i="17"/>
  <c r="E30" i="17" s="1"/>
  <c r="O27" i="17"/>
  <c r="M27" i="17"/>
  <c r="L27" i="17"/>
  <c r="J27" i="17"/>
  <c r="I27" i="17"/>
  <c r="CA26" i="17"/>
  <c r="BZ26" i="17"/>
  <c r="BY26" i="17"/>
  <c r="BX26" i="17"/>
  <c r="BW26" i="17"/>
  <c r="BU26" i="17"/>
  <c r="BT26" i="17"/>
  <c r="BS26" i="17"/>
  <c r="BR26" i="17"/>
  <c r="BQ26" i="17"/>
  <c r="BO26" i="17"/>
  <c r="BN26" i="17"/>
  <c r="BL26" i="17"/>
  <c r="BK26" i="17"/>
  <c r="BJ26" i="17"/>
  <c r="BI26" i="17"/>
  <c r="BH26" i="17"/>
  <c r="BG26" i="17"/>
  <c r="BF26" i="17"/>
  <c r="BE26" i="17"/>
  <c r="BC26" i="17"/>
  <c r="BB26" i="17"/>
  <c r="AZ26" i="17"/>
  <c r="AY26" i="17"/>
  <c r="AW26" i="17"/>
  <c r="AV26" i="17"/>
  <c r="AT26" i="17"/>
  <c r="AS26" i="17"/>
  <c r="AR26" i="17"/>
  <c r="AQ26" i="17"/>
  <c r="AP26" i="17"/>
  <c r="AO26" i="17"/>
  <c r="AN26" i="17"/>
  <c r="AM26" i="17"/>
  <c r="AK26" i="17"/>
  <c r="AJ26" i="17"/>
  <c r="AI26" i="17"/>
  <c r="AH26" i="17"/>
  <c r="AG26" i="17"/>
  <c r="AE26" i="17"/>
  <c r="AD26" i="17"/>
  <c r="AB26" i="17"/>
  <c r="AA26" i="17"/>
  <c r="Z26" i="17"/>
  <c r="Y26" i="17"/>
  <c r="X26" i="17"/>
  <c r="W26" i="17"/>
  <c r="V26" i="17"/>
  <c r="U26" i="17"/>
  <c r="S26" i="17"/>
  <c r="R26" i="17"/>
  <c r="P26" i="17"/>
  <c r="O26" i="17"/>
  <c r="M26" i="17"/>
  <c r="L26" i="17"/>
  <c r="J26" i="17"/>
  <c r="I26" i="17"/>
  <c r="H26" i="17"/>
  <c r="CA25" i="17"/>
  <c r="BZ25" i="17"/>
  <c r="BY25" i="17"/>
  <c r="BX25" i="17"/>
  <c r="BW25" i="17"/>
  <c r="BU25" i="17"/>
  <c r="BT25" i="17"/>
  <c r="BR25" i="17"/>
  <c r="BQ25" i="17"/>
  <c r="BO25" i="17"/>
  <c r="BN25" i="17"/>
  <c r="BL25" i="17"/>
  <c r="BK25" i="17"/>
  <c r="BI25" i="17"/>
  <c r="BH25" i="17"/>
  <c r="BG25" i="17"/>
  <c r="BF25" i="17"/>
  <c r="BE25" i="17"/>
  <c r="BC25" i="17"/>
  <c r="BB25" i="17"/>
  <c r="AZ25" i="17"/>
  <c r="AY25" i="17"/>
  <c r="AW25" i="17"/>
  <c r="AV25" i="17"/>
  <c r="AT25" i="17"/>
  <c r="AS25" i="17"/>
  <c r="AQ25" i="17"/>
  <c r="AP25" i="17"/>
  <c r="AO25" i="17"/>
  <c r="AN25" i="17"/>
  <c r="AM25" i="17"/>
  <c r="AK25" i="17"/>
  <c r="AJ25" i="17"/>
  <c r="AH25" i="17"/>
  <c r="AG25" i="17"/>
  <c r="AE25" i="17"/>
  <c r="AD25" i="17"/>
  <c r="AB25" i="17"/>
  <c r="AA25" i="17"/>
  <c r="Y25" i="17"/>
  <c r="X25" i="17"/>
  <c r="W25" i="17"/>
  <c r="V25" i="17"/>
  <c r="U25" i="17"/>
  <c r="S25" i="17"/>
  <c r="R25" i="17"/>
  <c r="P25" i="17"/>
  <c r="O25" i="17"/>
  <c r="M25" i="17"/>
  <c r="L25" i="17"/>
  <c r="J25" i="17"/>
  <c r="I25" i="17"/>
  <c r="CC19" i="17"/>
  <c r="CB19" i="17"/>
  <c r="BY19" i="17"/>
  <c r="BV19" i="17"/>
  <c r="BS19" i="17"/>
  <c r="BP19" i="17"/>
  <c r="BM19" i="17"/>
  <c r="BJ19" i="17"/>
  <c r="BG19" i="17"/>
  <c r="BD19" i="17"/>
  <c r="BA19" i="17"/>
  <c r="AX19" i="17"/>
  <c r="AU19" i="17"/>
  <c r="AR19" i="17"/>
  <c r="AO19" i="17"/>
  <c r="AL19" i="17"/>
  <c r="AI19" i="17"/>
  <c r="AF19" i="17"/>
  <c r="AC19" i="17"/>
  <c r="Z19" i="17"/>
  <c r="W19" i="17"/>
  <c r="T19" i="17"/>
  <c r="Q19" i="17"/>
  <c r="N19" i="17"/>
  <c r="K19" i="17"/>
  <c r="H19" i="17"/>
  <c r="CC18" i="17"/>
  <c r="CB18" i="17"/>
  <c r="BY18" i="17"/>
  <c r="BV18" i="17"/>
  <c r="BS18" i="17"/>
  <c r="BP18" i="17"/>
  <c r="BM18" i="17"/>
  <c r="BJ18" i="17"/>
  <c r="BG18" i="17"/>
  <c r="BD18" i="17"/>
  <c r="BA18" i="17"/>
  <c r="AX18" i="17"/>
  <c r="AU18" i="17"/>
  <c r="AR18" i="17"/>
  <c r="AO18" i="17"/>
  <c r="AL18" i="17"/>
  <c r="AI18" i="17"/>
  <c r="AF18" i="17"/>
  <c r="AC18" i="17"/>
  <c r="Z18" i="17"/>
  <c r="W18" i="17"/>
  <c r="T18" i="17"/>
  <c r="Q18" i="17"/>
  <c r="N18" i="17"/>
  <c r="K18" i="17"/>
  <c r="H18" i="17"/>
  <c r="CC17" i="17"/>
  <c r="CB17" i="17"/>
  <c r="BY17" i="17"/>
  <c r="BV17" i="17"/>
  <c r="BS17" i="17"/>
  <c r="BP17" i="17"/>
  <c r="BM17" i="17"/>
  <c r="BJ17" i="17"/>
  <c r="BG17" i="17"/>
  <c r="BD17" i="17"/>
  <c r="BA17" i="17"/>
  <c r="AX17" i="17"/>
  <c r="AU17" i="17"/>
  <c r="AR17" i="17"/>
  <c r="AO17" i="17"/>
  <c r="AL17" i="17"/>
  <c r="AI17" i="17"/>
  <c r="AF17" i="17"/>
  <c r="AC17" i="17"/>
  <c r="Z17" i="17"/>
  <c r="W17" i="17"/>
  <c r="T17" i="17"/>
  <c r="Q17" i="17"/>
  <c r="N17" i="17"/>
  <c r="K17" i="17"/>
  <c r="H17" i="17"/>
  <c r="CC11" i="17"/>
  <c r="CB11" i="17"/>
  <c r="BY11" i="17"/>
  <c r="BY27" i="17" s="1"/>
  <c r="BV11" i="17"/>
  <c r="BV27" i="17" s="1"/>
  <c r="BS11" i="17"/>
  <c r="BP11" i="17"/>
  <c r="BP27" i="17" s="1"/>
  <c r="BM11" i="17"/>
  <c r="BM27" i="17" s="1"/>
  <c r="BJ11" i="17"/>
  <c r="BJ27" i="17" s="1"/>
  <c r="BG11" i="17"/>
  <c r="BG27" i="17" s="1"/>
  <c r="BD11" i="17"/>
  <c r="BA11" i="17"/>
  <c r="BA27" i="17" s="1"/>
  <c r="AX11" i="17"/>
  <c r="AX27" i="17" s="1"/>
  <c r="AU11" i="17"/>
  <c r="AU27" i="17" s="1"/>
  <c r="AR11" i="17"/>
  <c r="AR27" i="17" s="1"/>
  <c r="AO11" i="17"/>
  <c r="AO27" i="17" s="1"/>
  <c r="AL11" i="17"/>
  <c r="AL27" i="17" s="1"/>
  <c r="AI11" i="17"/>
  <c r="AF11" i="17"/>
  <c r="AF27" i="17" s="1"/>
  <c r="AC11" i="17"/>
  <c r="AC27" i="17" s="1"/>
  <c r="Z11" i="17"/>
  <c r="Z27" i="17" s="1"/>
  <c r="W11" i="17"/>
  <c r="W27" i="17" s="1"/>
  <c r="T11" i="17"/>
  <c r="Q11" i="17"/>
  <c r="Q27" i="17" s="1"/>
  <c r="N11" i="17"/>
  <c r="N27" i="17" s="1"/>
  <c r="K11" i="17"/>
  <c r="K27" i="17" s="1"/>
  <c r="H11" i="17"/>
  <c r="H27" i="17" s="1"/>
  <c r="CC10" i="17"/>
  <c r="CB10" i="17"/>
  <c r="BY10" i="17"/>
  <c r="BV10" i="17"/>
  <c r="BV26" i="17" s="1"/>
  <c r="BS10" i="17"/>
  <c r="BP10" i="17"/>
  <c r="BP26" i="17" s="1"/>
  <c r="BM10" i="17"/>
  <c r="BM26" i="17" s="1"/>
  <c r="BJ10" i="17"/>
  <c r="BG10" i="17"/>
  <c r="BD10" i="17"/>
  <c r="BD26" i="17" s="1"/>
  <c r="BA10" i="17"/>
  <c r="BA26" i="17" s="1"/>
  <c r="AX10" i="17"/>
  <c r="AX26" i="17" s="1"/>
  <c r="AU10" i="17"/>
  <c r="AU26" i="17" s="1"/>
  <c r="AR10" i="17"/>
  <c r="AO10" i="17"/>
  <c r="AL10" i="17"/>
  <c r="AL26" i="17" s="1"/>
  <c r="AI10" i="17"/>
  <c r="AF10" i="17"/>
  <c r="AF26" i="17" s="1"/>
  <c r="AC10" i="17"/>
  <c r="AC26" i="17" s="1"/>
  <c r="Z10" i="17"/>
  <c r="W10" i="17"/>
  <c r="T10" i="17"/>
  <c r="T26" i="17" s="1"/>
  <c r="Q10" i="17"/>
  <c r="Q26" i="17" s="1"/>
  <c r="N10" i="17"/>
  <c r="N26" i="17" s="1"/>
  <c r="K10" i="17"/>
  <c r="K26" i="17" s="1"/>
  <c r="H10" i="17"/>
  <c r="CC9" i="17"/>
  <c r="CB9" i="17"/>
  <c r="BY9" i="17"/>
  <c r="BV9" i="17"/>
  <c r="BV25" i="17" s="1"/>
  <c r="BS9" i="17"/>
  <c r="BS25" i="17" s="1"/>
  <c r="BP9" i="17"/>
  <c r="BP25" i="17" s="1"/>
  <c r="BM9" i="17"/>
  <c r="BM25" i="17" s="1"/>
  <c r="BJ9" i="17"/>
  <c r="BJ25" i="17" s="1"/>
  <c r="BG9" i="17"/>
  <c r="BD9" i="17"/>
  <c r="BD25" i="17" s="1"/>
  <c r="BA9" i="17"/>
  <c r="BA25" i="17" s="1"/>
  <c r="AX9" i="17"/>
  <c r="AX25" i="17" s="1"/>
  <c r="AU9" i="17"/>
  <c r="AU25" i="17" s="1"/>
  <c r="AR9" i="17"/>
  <c r="AR25" i="17" s="1"/>
  <c r="AO9" i="17"/>
  <c r="AL9" i="17"/>
  <c r="AL25" i="17" s="1"/>
  <c r="AI9" i="17"/>
  <c r="AI25" i="17" s="1"/>
  <c r="AF9" i="17"/>
  <c r="AF25" i="17" s="1"/>
  <c r="AC9" i="17"/>
  <c r="AC25" i="17" s="1"/>
  <c r="Z9" i="17"/>
  <c r="Z25" i="17" s="1"/>
  <c r="W9" i="17"/>
  <c r="T9" i="17"/>
  <c r="T25" i="17" s="1"/>
  <c r="Q9" i="17"/>
  <c r="Q25" i="17" s="1"/>
  <c r="N9" i="17"/>
  <c r="N25" i="17" s="1"/>
  <c r="K9" i="17"/>
  <c r="K25" i="17" s="1"/>
  <c r="H9" i="17"/>
  <c r="H25" i="17" s="1"/>
  <c r="BZ4" i="17"/>
  <c r="BU65" i="16"/>
  <c r="CA63" i="16"/>
  <c r="BY63" i="16"/>
  <c r="BX63" i="16"/>
  <c r="BV63" i="16"/>
  <c r="BU63" i="16"/>
  <c r="BS63" i="16"/>
  <c r="BR63" i="16"/>
  <c r="BP63" i="16"/>
  <c r="BO63" i="16"/>
  <c r="BM63" i="16"/>
  <c r="BL63" i="16"/>
  <c r="BJ63" i="16"/>
  <c r="BI63" i="16"/>
  <c r="BG63" i="16"/>
  <c r="BF63" i="16"/>
  <c r="BD63" i="16"/>
  <c r="BC63" i="16"/>
  <c r="BA63" i="16"/>
  <c r="AZ63" i="16"/>
  <c r="AX63" i="16"/>
  <c r="AW63" i="16"/>
  <c r="AU63" i="16"/>
  <c r="AT63" i="16"/>
  <c r="AR63" i="16"/>
  <c r="AQ63" i="16"/>
  <c r="AO63" i="16"/>
  <c r="AN63" i="16"/>
  <c r="AL63" i="16"/>
  <c r="AK63" i="16"/>
  <c r="AI63" i="16"/>
  <c r="AH63" i="16"/>
  <c r="AF63" i="16"/>
  <c r="AE63" i="16"/>
  <c r="AC63" i="16"/>
  <c r="AB63" i="16"/>
  <c r="Z63" i="16"/>
  <c r="Y63" i="16"/>
  <c r="W63" i="16"/>
  <c r="V63" i="16"/>
  <c r="T63" i="16"/>
  <c r="S63" i="16"/>
  <c r="Q63" i="16"/>
  <c r="P63" i="16"/>
  <c r="N63" i="16"/>
  <c r="M63" i="16"/>
  <c r="K63" i="16"/>
  <c r="K65" i="16" s="1"/>
  <c r="J63" i="16"/>
  <c r="H63" i="16"/>
  <c r="CA60" i="16"/>
  <c r="BY60" i="16"/>
  <c r="BX60" i="16"/>
  <c r="BV60" i="16"/>
  <c r="BU60" i="16"/>
  <c r="BS60" i="16"/>
  <c r="BR60" i="16"/>
  <c r="BP60" i="16"/>
  <c r="BO60" i="16"/>
  <c r="BM60" i="16"/>
  <c r="BL60" i="16"/>
  <c r="BJ60" i="16"/>
  <c r="BI60" i="16"/>
  <c r="BG60" i="16"/>
  <c r="BF60" i="16"/>
  <c r="BD60" i="16"/>
  <c r="BC60" i="16"/>
  <c r="BA60" i="16"/>
  <c r="AZ60" i="16"/>
  <c r="AX60" i="16"/>
  <c r="AW60" i="16"/>
  <c r="AU60" i="16"/>
  <c r="AT60" i="16"/>
  <c r="AR60" i="16"/>
  <c r="AQ60" i="16"/>
  <c r="AO60" i="16"/>
  <c r="AN60" i="16"/>
  <c r="AL60" i="16"/>
  <c r="AK60" i="16"/>
  <c r="AI60" i="16"/>
  <c r="AH60" i="16"/>
  <c r="AF60" i="16"/>
  <c r="AE60" i="16"/>
  <c r="AC60" i="16"/>
  <c r="AB60" i="16"/>
  <c r="Z60" i="16"/>
  <c r="Y60" i="16"/>
  <c r="W60" i="16"/>
  <c r="V60" i="16"/>
  <c r="T60" i="16"/>
  <c r="S60" i="16"/>
  <c r="Q60" i="16"/>
  <c r="P60" i="16"/>
  <c r="N60" i="16"/>
  <c r="M60" i="16"/>
  <c r="K60" i="16"/>
  <c r="J60" i="16"/>
  <c r="H60" i="16"/>
  <c r="CA59" i="16"/>
  <c r="BY59" i="16"/>
  <c r="BX59" i="16"/>
  <c r="BV59" i="16"/>
  <c r="BU59" i="16"/>
  <c r="BS59" i="16"/>
  <c r="BR59" i="16"/>
  <c r="BP59" i="16"/>
  <c r="BO59" i="16"/>
  <c r="BM59" i="16"/>
  <c r="BL59" i="16"/>
  <c r="BJ59" i="16"/>
  <c r="BI59" i="16"/>
  <c r="BG59" i="16"/>
  <c r="BF59" i="16"/>
  <c r="BD59" i="16"/>
  <c r="BC59" i="16"/>
  <c r="BA59" i="16"/>
  <c r="AZ59" i="16"/>
  <c r="AX59" i="16"/>
  <c r="AW59" i="16"/>
  <c r="AU59" i="16"/>
  <c r="AT59" i="16"/>
  <c r="AR59" i="16"/>
  <c r="AQ59" i="16"/>
  <c r="AO59" i="16"/>
  <c r="AN59" i="16"/>
  <c r="AL59" i="16"/>
  <c r="AK59" i="16"/>
  <c r="AI59" i="16"/>
  <c r="AH59" i="16"/>
  <c r="AF59" i="16"/>
  <c r="AE59" i="16"/>
  <c r="AC59" i="16"/>
  <c r="AB59" i="16"/>
  <c r="Z59" i="16"/>
  <c r="Y59" i="16"/>
  <c r="W59" i="16"/>
  <c r="V59" i="16"/>
  <c r="T59" i="16"/>
  <c r="S59" i="16"/>
  <c r="Q59" i="16"/>
  <c r="P59" i="16"/>
  <c r="N59" i="16"/>
  <c r="M59" i="16"/>
  <c r="K59" i="16"/>
  <c r="J59" i="16"/>
  <c r="H59" i="16"/>
  <c r="CA58" i="16"/>
  <c r="CA65" i="16" s="1"/>
  <c r="BY58" i="16"/>
  <c r="BY65" i="16" s="1"/>
  <c r="BX58" i="16"/>
  <c r="BX65" i="16" s="1"/>
  <c r="BV58" i="16"/>
  <c r="BV65" i="16" s="1"/>
  <c r="BU58" i="16"/>
  <c r="BS58" i="16"/>
  <c r="BS65" i="16" s="1"/>
  <c r="BR58" i="16"/>
  <c r="BR65" i="16" s="1"/>
  <c r="BP58" i="16"/>
  <c r="BP65" i="16" s="1"/>
  <c r="BO58" i="16"/>
  <c r="BO65" i="16" s="1"/>
  <c r="BM58" i="16"/>
  <c r="BM65" i="16" s="1"/>
  <c r="BL58" i="16"/>
  <c r="BL65" i="16" s="1"/>
  <c r="BJ58" i="16"/>
  <c r="BJ65" i="16" s="1"/>
  <c r="BI58" i="16"/>
  <c r="BI65" i="16" s="1"/>
  <c r="BG58" i="16"/>
  <c r="BG65" i="16" s="1"/>
  <c r="BF58" i="16"/>
  <c r="BF65" i="16" s="1"/>
  <c r="BD58" i="16"/>
  <c r="BD65" i="16" s="1"/>
  <c r="BC58" i="16"/>
  <c r="BC65" i="16" s="1"/>
  <c r="BA58" i="16"/>
  <c r="BA65" i="16" s="1"/>
  <c r="AZ58" i="16"/>
  <c r="AZ65" i="16" s="1"/>
  <c r="AX58" i="16"/>
  <c r="AX65" i="16" s="1"/>
  <c r="AW58" i="16"/>
  <c r="AW65" i="16" s="1"/>
  <c r="AU58" i="16"/>
  <c r="AU65" i="16" s="1"/>
  <c r="AT58" i="16"/>
  <c r="AT65" i="16" s="1"/>
  <c r="AR58" i="16"/>
  <c r="AR65" i="16" s="1"/>
  <c r="AQ58" i="16"/>
  <c r="AQ65" i="16" s="1"/>
  <c r="AO58" i="16"/>
  <c r="AO65" i="16" s="1"/>
  <c r="AN58" i="16"/>
  <c r="AN65" i="16" s="1"/>
  <c r="AL58" i="16"/>
  <c r="AL65" i="16" s="1"/>
  <c r="AK58" i="16"/>
  <c r="AK65" i="16" s="1"/>
  <c r="AI58" i="16"/>
  <c r="AI65" i="16" s="1"/>
  <c r="AH58" i="16"/>
  <c r="AH65" i="16" s="1"/>
  <c r="AF58" i="16"/>
  <c r="AF65" i="16" s="1"/>
  <c r="AE58" i="16"/>
  <c r="AE65" i="16" s="1"/>
  <c r="AC58" i="16"/>
  <c r="AC65" i="16" s="1"/>
  <c r="AB58" i="16"/>
  <c r="AB65" i="16" s="1"/>
  <c r="Z58" i="16"/>
  <c r="Z65" i="16" s="1"/>
  <c r="Y58" i="16"/>
  <c r="Y65" i="16" s="1"/>
  <c r="W58" i="16"/>
  <c r="W65" i="16" s="1"/>
  <c r="V58" i="16"/>
  <c r="V65" i="16" s="1"/>
  <c r="T58" i="16"/>
  <c r="T65" i="16" s="1"/>
  <c r="S58" i="16"/>
  <c r="S65" i="16" s="1"/>
  <c r="Q58" i="16"/>
  <c r="Q65" i="16" s="1"/>
  <c r="P58" i="16"/>
  <c r="P65" i="16" s="1"/>
  <c r="N58" i="16"/>
  <c r="N65" i="16" s="1"/>
  <c r="M58" i="16"/>
  <c r="M65" i="16" s="1"/>
  <c r="J58" i="16"/>
  <c r="H58" i="16"/>
  <c r="CA55" i="16"/>
  <c r="BY55" i="16"/>
  <c r="BX55" i="16"/>
  <c r="BV55" i="16"/>
  <c r="BU55" i="16"/>
  <c r="BS55" i="16"/>
  <c r="BR55" i="16"/>
  <c r="BP55" i="16"/>
  <c r="BO55" i="16"/>
  <c r="BM55" i="16"/>
  <c r="BL55" i="16"/>
  <c r="BJ55" i="16"/>
  <c r="BI55" i="16"/>
  <c r="BG55" i="16"/>
  <c r="BF55" i="16"/>
  <c r="BD55" i="16"/>
  <c r="BC55" i="16"/>
  <c r="BA55" i="16"/>
  <c r="AZ55" i="16"/>
  <c r="AX55" i="16"/>
  <c r="AW55" i="16"/>
  <c r="AU55" i="16"/>
  <c r="AT55" i="16"/>
  <c r="AR55" i="16"/>
  <c r="AQ55" i="16"/>
  <c r="AO55" i="16"/>
  <c r="AN55" i="16"/>
  <c r="AL55" i="16"/>
  <c r="AK55" i="16"/>
  <c r="AI55" i="16"/>
  <c r="AH55" i="16"/>
  <c r="AF55" i="16"/>
  <c r="AE55" i="16"/>
  <c r="AC55" i="16"/>
  <c r="AB55" i="16"/>
  <c r="Z55" i="16"/>
  <c r="Y55" i="16"/>
  <c r="W55" i="16"/>
  <c r="V55" i="16"/>
  <c r="T55" i="16"/>
  <c r="S55" i="16"/>
  <c r="Q55" i="16"/>
  <c r="P55" i="16"/>
  <c r="N55" i="16"/>
  <c r="M55" i="16"/>
  <c r="K55" i="16"/>
  <c r="J55" i="16"/>
  <c r="H55" i="16"/>
  <c r="CA54" i="16"/>
  <c r="BY54" i="16"/>
  <c r="BX54" i="16"/>
  <c r="BV54" i="16"/>
  <c r="BU54" i="16"/>
  <c r="BS54" i="16"/>
  <c r="BR54" i="16"/>
  <c r="BP54" i="16"/>
  <c r="BO54" i="16"/>
  <c r="BM54" i="16"/>
  <c r="BL54" i="16"/>
  <c r="BJ54" i="16"/>
  <c r="BI54" i="16"/>
  <c r="BG54" i="16"/>
  <c r="BF54" i="16"/>
  <c r="BD54" i="16"/>
  <c r="BC54" i="16"/>
  <c r="BA54" i="16"/>
  <c r="AZ54" i="16"/>
  <c r="AX54" i="16"/>
  <c r="AW54" i="16"/>
  <c r="AU54" i="16"/>
  <c r="AT54" i="16"/>
  <c r="AR54" i="16"/>
  <c r="AQ54" i="16"/>
  <c r="AO54" i="16"/>
  <c r="AN54" i="16"/>
  <c r="AL54" i="16"/>
  <c r="AK54" i="16"/>
  <c r="AI54" i="16"/>
  <c r="AH54" i="16"/>
  <c r="AF54" i="16"/>
  <c r="AE54" i="16"/>
  <c r="AC54" i="16"/>
  <c r="AB54" i="16"/>
  <c r="Z54" i="16"/>
  <c r="Y54" i="16"/>
  <c r="W54" i="16"/>
  <c r="V54" i="16"/>
  <c r="T54" i="16"/>
  <c r="S54" i="16"/>
  <c r="Q54" i="16"/>
  <c r="P54" i="16"/>
  <c r="N54" i="16"/>
  <c r="M54" i="16"/>
  <c r="K54" i="16"/>
  <c r="J54" i="16"/>
  <c r="H54" i="16"/>
  <c r="BX51" i="16"/>
  <c r="BW51" i="16"/>
  <c r="AT51" i="16"/>
  <c r="CA50" i="16"/>
  <c r="BZ50" i="16"/>
  <c r="BX50" i="16"/>
  <c r="BW50" i="16"/>
  <c r="BU50" i="16"/>
  <c r="BT50" i="16"/>
  <c r="BR50" i="16"/>
  <c r="BQ50" i="16"/>
  <c r="BO50" i="16"/>
  <c r="BN50" i="16"/>
  <c r="BL50" i="16"/>
  <c r="BK50" i="16"/>
  <c r="BI50" i="16"/>
  <c r="BH50" i="16"/>
  <c r="BF50" i="16"/>
  <c r="BE50" i="16"/>
  <c r="BC50" i="16"/>
  <c r="BB50" i="16"/>
  <c r="AZ50" i="16"/>
  <c r="AY50" i="16"/>
  <c r="AW50" i="16"/>
  <c r="AV50" i="16"/>
  <c r="AT50" i="16"/>
  <c r="AS50" i="16"/>
  <c r="AS51" i="16" s="1"/>
  <c r="AQ50" i="16"/>
  <c r="AP50" i="16"/>
  <c r="AN50" i="16"/>
  <c r="AN51" i="16" s="1"/>
  <c r="AM50" i="16"/>
  <c r="AK50" i="16"/>
  <c r="AJ50" i="16"/>
  <c r="AH50" i="16"/>
  <c r="AG50" i="16"/>
  <c r="AG51" i="16" s="1"/>
  <c r="AE50" i="16"/>
  <c r="AD50" i="16"/>
  <c r="AB50" i="16"/>
  <c r="AA50" i="16"/>
  <c r="Y50" i="16"/>
  <c r="X50" i="16"/>
  <c r="V50" i="16"/>
  <c r="U50" i="16"/>
  <c r="S50" i="16"/>
  <c r="R50" i="16"/>
  <c r="P50" i="16"/>
  <c r="O50" i="16"/>
  <c r="O51" i="16" s="1"/>
  <c r="M50" i="16"/>
  <c r="L50" i="16"/>
  <c r="J50" i="16"/>
  <c r="I50" i="16"/>
  <c r="CA49" i="16"/>
  <c r="CA51" i="16" s="1"/>
  <c r="BZ49" i="16"/>
  <c r="BX49" i="16"/>
  <c r="BW49" i="16"/>
  <c r="BV49" i="16"/>
  <c r="BU49" i="16"/>
  <c r="BU51" i="16" s="1"/>
  <c r="BT49" i="16"/>
  <c r="BT51" i="16" s="1"/>
  <c r="BR49" i="16"/>
  <c r="BR51" i="16" s="1"/>
  <c r="BQ49" i="16"/>
  <c r="BO49" i="16"/>
  <c r="BN49" i="16"/>
  <c r="BN51" i="16" s="1"/>
  <c r="BL49" i="16"/>
  <c r="BL51" i="16" s="1"/>
  <c r="BK49" i="16"/>
  <c r="BK51" i="16" s="1"/>
  <c r="BI49" i="16"/>
  <c r="BH49" i="16"/>
  <c r="BF49" i="16"/>
  <c r="BF51" i="16" s="1"/>
  <c r="BE49" i="16"/>
  <c r="BE51" i="16" s="1"/>
  <c r="BD49" i="16"/>
  <c r="BC49" i="16"/>
  <c r="BC51" i="16" s="1"/>
  <c r="BB49" i="16"/>
  <c r="BB51" i="16" s="1"/>
  <c r="AZ49" i="16"/>
  <c r="AY49" i="16"/>
  <c r="AW49" i="16"/>
  <c r="AV49" i="16"/>
  <c r="AV51" i="16" s="1"/>
  <c r="AT49" i="16"/>
  <c r="AS49" i="16"/>
  <c r="AQ49" i="16"/>
  <c r="AQ51" i="16" s="1"/>
  <c r="AP49" i="16"/>
  <c r="AN49" i="16"/>
  <c r="AM49" i="16"/>
  <c r="AL49" i="16"/>
  <c r="AK49" i="16"/>
  <c r="AK51" i="16" s="1"/>
  <c r="AJ49" i="16"/>
  <c r="AJ51" i="16" s="1"/>
  <c r="AH49" i="16"/>
  <c r="AH51" i="16" s="1"/>
  <c r="AG49" i="16"/>
  <c r="AF49" i="16"/>
  <c r="AE49" i="16"/>
  <c r="AE51" i="16" s="1"/>
  <c r="AD49" i="16"/>
  <c r="AD51" i="16" s="1"/>
  <c r="AB49" i="16"/>
  <c r="AB51" i="16" s="1"/>
  <c r="AA49" i="16"/>
  <c r="Y49" i="16"/>
  <c r="Y51" i="16" s="1"/>
  <c r="X49" i="16"/>
  <c r="V49" i="16"/>
  <c r="V51" i="16" s="1"/>
  <c r="U49" i="16"/>
  <c r="T49" i="16"/>
  <c r="S49" i="16"/>
  <c r="S51" i="16" s="1"/>
  <c r="R49" i="16"/>
  <c r="R51" i="16" s="1"/>
  <c r="P49" i="16"/>
  <c r="P51" i="16" s="1"/>
  <c r="O49" i="16"/>
  <c r="M49" i="16"/>
  <c r="L49" i="16"/>
  <c r="L51" i="16" s="1"/>
  <c r="J49" i="16"/>
  <c r="J51" i="16" s="1"/>
  <c r="I49" i="16"/>
  <c r="CB49" i="16" s="1"/>
  <c r="BY48" i="16"/>
  <c r="BV48" i="16"/>
  <c r="BS48" i="16"/>
  <c r="BP48" i="16"/>
  <c r="BM48" i="16"/>
  <c r="BJ48" i="16"/>
  <c r="BG48" i="16"/>
  <c r="BD48" i="16"/>
  <c r="BA48" i="16"/>
  <c r="AX48" i="16"/>
  <c r="AU48" i="16"/>
  <c r="AR48" i="16"/>
  <c r="AO48" i="16"/>
  <c r="AL48" i="16"/>
  <c r="AI48" i="16"/>
  <c r="AF48" i="16"/>
  <c r="AC48" i="16"/>
  <c r="Z48" i="16"/>
  <c r="W48" i="16"/>
  <c r="T48" i="16"/>
  <c r="Q48" i="16"/>
  <c r="N48" i="16"/>
  <c r="K48" i="16"/>
  <c r="H48" i="16"/>
  <c r="BY47" i="16"/>
  <c r="BV47" i="16"/>
  <c r="BS47" i="16"/>
  <c r="BP47" i="16"/>
  <c r="BM47" i="16"/>
  <c r="BJ47" i="16"/>
  <c r="BG47" i="16"/>
  <c r="BD47" i="16"/>
  <c r="BA47" i="16"/>
  <c r="AX47" i="16"/>
  <c r="AU47" i="16"/>
  <c r="AR47" i="16"/>
  <c r="AO47" i="16"/>
  <c r="AL47" i="16"/>
  <c r="AI47" i="16"/>
  <c r="AF47" i="16"/>
  <c r="AC47" i="16"/>
  <c r="Z47" i="16"/>
  <c r="W47" i="16"/>
  <c r="T47" i="16"/>
  <c r="Q47" i="16"/>
  <c r="N47" i="16"/>
  <c r="K47" i="16"/>
  <c r="H47" i="16"/>
  <c r="BY46" i="16"/>
  <c r="BV46" i="16"/>
  <c r="BS46" i="16"/>
  <c r="BP46" i="16"/>
  <c r="BM46" i="16"/>
  <c r="BJ46" i="16"/>
  <c r="BG46" i="16"/>
  <c r="BD46" i="16"/>
  <c r="BA46" i="16"/>
  <c r="AX46" i="16"/>
  <c r="AU46" i="16"/>
  <c r="AR46" i="16"/>
  <c r="AO46" i="16"/>
  <c r="AL46" i="16"/>
  <c r="AI46" i="16"/>
  <c r="AF46" i="16"/>
  <c r="AC46" i="16"/>
  <c r="Z46" i="16"/>
  <c r="W46" i="16"/>
  <c r="T46" i="16"/>
  <c r="Q46" i="16"/>
  <c r="N46" i="16"/>
  <c r="K46" i="16"/>
  <c r="H46" i="16"/>
  <c r="BY45" i="16"/>
  <c r="BV45" i="16"/>
  <c r="BS45" i="16"/>
  <c r="BP45" i="16"/>
  <c r="BM45" i="16"/>
  <c r="BJ45" i="16"/>
  <c r="BG45" i="16"/>
  <c r="BD45" i="16"/>
  <c r="BA45" i="16"/>
  <c r="AX45" i="16"/>
  <c r="AU45" i="16"/>
  <c r="AR45" i="16"/>
  <c r="AO45" i="16"/>
  <c r="AL45" i="16"/>
  <c r="AI45" i="16"/>
  <c r="AF45" i="16"/>
  <c r="AC45" i="16"/>
  <c r="Z45" i="16"/>
  <c r="W45" i="16"/>
  <c r="T45" i="16"/>
  <c r="Q45" i="16"/>
  <c r="N45" i="16"/>
  <c r="K45" i="16"/>
  <c r="H45" i="16"/>
  <c r="BY44" i="16"/>
  <c r="BV44" i="16"/>
  <c r="BS44" i="16"/>
  <c r="BP44" i="16"/>
  <c r="BM44" i="16"/>
  <c r="BJ44" i="16"/>
  <c r="BG44" i="16"/>
  <c r="BD44" i="16"/>
  <c r="BA44" i="16"/>
  <c r="AX44" i="16"/>
  <c r="AU44" i="16"/>
  <c r="AR44" i="16"/>
  <c r="AO44" i="16"/>
  <c r="AL44" i="16"/>
  <c r="AI44" i="16"/>
  <c r="AF44" i="16"/>
  <c r="AC44" i="16"/>
  <c r="Z44" i="16"/>
  <c r="W44" i="16"/>
  <c r="T44" i="16"/>
  <c r="Q44" i="16"/>
  <c r="N44" i="16"/>
  <c r="K44" i="16"/>
  <c r="H44" i="16"/>
  <c r="BY43" i="16"/>
  <c r="BV43" i="16"/>
  <c r="BS43" i="16"/>
  <c r="BP43" i="16"/>
  <c r="BM43" i="16"/>
  <c r="BJ43" i="16"/>
  <c r="BG43" i="16"/>
  <c r="BD43" i="16"/>
  <c r="BA43" i="16"/>
  <c r="AX43" i="16"/>
  <c r="AU43" i="16"/>
  <c r="AR43" i="16"/>
  <c r="AO43" i="16"/>
  <c r="AL43" i="16"/>
  <c r="AI43" i="16"/>
  <c r="AF43" i="16"/>
  <c r="AC43" i="16"/>
  <c r="Z43" i="16"/>
  <c r="W43" i="16"/>
  <c r="T43" i="16"/>
  <c r="Q43" i="16"/>
  <c r="N43" i="16"/>
  <c r="K43" i="16"/>
  <c r="H43" i="16"/>
  <c r="BY42" i="16"/>
  <c r="BV42" i="16"/>
  <c r="BS42" i="16"/>
  <c r="BP42" i="16"/>
  <c r="BM42" i="16"/>
  <c r="BJ42" i="16"/>
  <c r="BG42" i="16"/>
  <c r="BD42" i="16"/>
  <c r="BA42" i="16"/>
  <c r="AX42" i="16"/>
  <c r="AU42" i="16"/>
  <c r="AR42" i="16"/>
  <c r="AO42" i="16"/>
  <c r="AL42" i="16"/>
  <c r="AI42" i="16"/>
  <c r="AF42" i="16"/>
  <c r="AC42" i="16"/>
  <c r="Z42" i="16"/>
  <c r="W42" i="16"/>
  <c r="T42" i="16"/>
  <c r="Q42" i="16"/>
  <c r="N42" i="16"/>
  <c r="K42" i="16"/>
  <c r="H42" i="16"/>
  <c r="BY41" i="16"/>
  <c r="BV41" i="16"/>
  <c r="BS41" i="16"/>
  <c r="BP41" i="16"/>
  <c r="BM41" i="16"/>
  <c r="BJ41" i="16"/>
  <c r="BG41" i="16"/>
  <c r="BD41" i="16"/>
  <c r="BA41" i="16"/>
  <c r="AX41" i="16"/>
  <c r="AU41" i="16"/>
  <c r="AR41" i="16"/>
  <c r="AO41" i="16"/>
  <c r="AL41" i="16"/>
  <c r="AI41" i="16"/>
  <c r="AF41" i="16"/>
  <c r="AC41" i="16"/>
  <c r="Z41" i="16"/>
  <c r="W41" i="16"/>
  <c r="T41" i="16"/>
  <c r="Q41" i="16"/>
  <c r="N41" i="16"/>
  <c r="K41" i="16"/>
  <c r="H41" i="16"/>
  <c r="BY40" i="16"/>
  <c r="BV40" i="16"/>
  <c r="BS40" i="16"/>
  <c r="BP40" i="16"/>
  <c r="BM40" i="16"/>
  <c r="BJ40" i="16"/>
  <c r="BG40" i="16"/>
  <c r="BD40" i="16"/>
  <c r="BA40" i="16"/>
  <c r="AX40" i="16"/>
  <c r="AU40" i="16"/>
  <c r="AR40" i="16"/>
  <c r="AO40" i="16"/>
  <c r="AL40" i="16"/>
  <c r="AI40" i="16"/>
  <c r="AF40" i="16"/>
  <c r="AC40" i="16"/>
  <c r="Z40" i="16"/>
  <c r="W40" i="16"/>
  <c r="T40" i="16"/>
  <c r="Q40" i="16"/>
  <c r="N40" i="16"/>
  <c r="K40" i="16"/>
  <c r="H40" i="16"/>
  <c r="BY39" i="16"/>
  <c r="BV39" i="16"/>
  <c r="BS39" i="16"/>
  <c r="BP39" i="16"/>
  <c r="BM39" i="16"/>
  <c r="BJ39" i="16"/>
  <c r="BG39" i="16"/>
  <c r="BD39" i="16"/>
  <c r="BA39" i="16"/>
  <c r="AX39" i="16"/>
  <c r="AU39" i="16"/>
  <c r="AR39" i="16"/>
  <c r="AO39" i="16"/>
  <c r="AL39" i="16"/>
  <c r="AI39" i="16"/>
  <c r="AF39" i="16"/>
  <c r="AC39" i="16"/>
  <c r="Z39" i="16"/>
  <c r="W39" i="16"/>
  <c r="T39" i="16"/>
  <c r="Q39" i="16"/>
  <c r="N39" i="16"/>
  <c r="K39" i="16"/>
  <c r="H39" i="16"/>
  <c r="BY38" i="16"/>
  <c r="BV38" i="16"/>
  <c r="BS38" i="16"/>
  <c r="BP38" i="16"/>
  <c r="BM38" i="16"/>
  <c r="BJ38" i="16"/>
  <c r="BG38" i="16"/>
  <c r="BD38" i="16"/>
  <c r="BA38" i="16"/>
  <c r="AX38" i="16"/>
  <c r="AU38" i="16"/>
  <c r="AR38" i="16"/>
  <c r="AO38" i="16"/>
  <c r="AL38" i="16"/>
  <c r="AI38" i="16"/>
  <c r="AF38" i="16"/>
  <c r="AC38" i="16"/>
  <c r="Z38" i="16"/>
  <c r="W38" i="16"/>
  <c r="T38" i="16"/>
  <c r="Q38" i="16"/>
  <c r="N38" i="16"/>
  <c r="K38" i="16"/>
  <c r="H38" i="16"/>
  <c r="BY37" i="16"/>
  <c r="BV37" i="16"/>
  <c r="BS37" i="16"/>
  <c r="BP37" i="16"/>
  <c r="BM37" i="16"/>
  <c r="BJ37" i="16"/>
  <c r="BG37" i="16"/>
  <c r="BD37" i="16"/>
  <c r="BA37" i="16"/>
  <c r="AX37" i="16"/>
  <c r="AX49" i="16" s="1"/>
  <c r="AU37" i="16"/>
  <c r="AR37" i="16"/>
  <c r="AO37" i="16"/>
  <c r="AL37" i="16"/>
  <c r="AI37" i="16"/>
  <c r="AF37" i="16"/>
  <c r="AC37" i="16"/>
  <c r="Z37" i="16"/>
  <c r="W37" i="16"/>
  <c r="T37" i="16"/>
  <c r="Q37" i="16"/>
  <c r="N37" i="16"/>
  <c r="N49" i="16" s="1"/>
  <c r="K37" i="16"/>
  <c r="H37" i="16"/>
  <c r="BY36" i="16"/>
  <c r="BV36" i="16"/>
  <c r="BS36" i="16"/>
  <c r="BP36" i="16"/>
  <c r="BM36" i="16"/>
  <c r="BJ36" i="16"/>
  <c r="BG36" i="16"/>
  <c r="BD36" i="16"/>
  <c r="BA36" i="16"/>
  <c r="AX36" i="16"/>
  <c r="AU36" i="16"/>
  <c r="AR36" i="16"/>
  <c r="AO36" i="16"/>
  <c r="AL36" i="16"/>
  <c r="AI36" i="16"/>
  <c r="AF36" i="16"/>
  <c r="AC36" i="16"/>
  <c r="Z36" i="16"/>
  <c r="W36" i="16"/>
  <c r="T36" i="16"/>
  <c r="Q36" i="16"/>
  <c r="N36" i="16"/>
  <c r="K36" i="16"/>
  <c r="H36" i="16"/>
  <c r="BY35" i="16"/>
  <c r="BV35" i="16"/>
  <c r="BS35" i="16"/>
  <c r="BP35" i="16"/>
  <c r="BM35" i="16"/>
  <c r="BJ35" i="16"/>
  <c r="BG35" i="16"/>
  <c r="BD35" i="16"/>
  <c r="BA35" i="16"/>
  <c r="AX35" i="16"/>
  <c r="AU35" i="16"/>
  <c r="AR35" i="16"/>
  <c r="AO35" i="16"/>
  <c r="AL35" i="16"/>
  <c r="AI35" i="16"/>
  <c r="AF35" i="16"/>
  <c r="AC35" i="16"/>
  <c r="Z35" i="16"/>
  <c r="W35" i="16"/>
  <c r="T35" i="16"/>
  <c r="Q35" i="16"/>
  <c r="N35" i="16"/>
  <c r="K35" i="16"/>
  <c r="H35" i="16"/>
  <c r="BY34" i="16"/>
  <c r="BV34" i="16"/>
  <c r="BS34" i="16"/>
  <c r="BP34" i="16"/>
  <c r="BM34" i="16"/>
  <c r="BJ34" i="16"/>
  <c r="BG34" i="16"/>
  <c r="BD34" i="16"/>
  <c r="BA34" i="16"/>
  <c r="AX34" i="16"/>
  <c r="AU34" i="16"/>
  <c r="AR34" i="16"/>
  <c r="AO34" i="16"/>
  <c r="AL34" i="16"/>
  <c r="AI34" i="16"/>
  <c r="AF34" i="16"/>
  <c r="AC34" i="16"/>
  <c r="Z34" i="16"/>
  <c r="W34" i="16"/>
  <c r="T34" i="16"/>
  <c r="Q34" i="16"/>
  <c r="N34" i="16"/>
  <c r="K34" i="16"/>
  <c r="H34" i="16"/>
  <c r="BY33" i="16"/>
  <c r="BV33" i="16"/>
  <c r="BS33" i="16"/>
  <c r="BP33" i="16"/>
  <c r="BM33" i="16"/>
  <c r="BJ33" i="16"/>
  <c r="BG33" i="16"/>
  <c r="BD33" i="16"/>
  <c r="BA33" i="16"/>
  <c r="AX33" i="16"/>
  <c r="AU33" i="16"/>
  <c r="AR33" i="16"/>
  <c r="AO33" i="16"/>
  <c r="AL33" i="16"/>
  <c r="AI33" i="16"/>
  <c r="AF33" i="16"/>
  <c r="AC33" i="16"/>
  <c r="Z33" i="16"/>
  <c r="W33" i="16"/>
  <c r="T33" i="16"/>
  <c r="Q33" i="16"/>
  <c r="N33" i="16"/>
  <c r="K33" i="16"/>
  <c r="H33" i="16"/>
  <c r="CA28" i="16"/>
  <c r="BZ28" i="16"/>
  <c r="BX28" i="16"/>
  <c r="BW28" i="16"/>
  <c r="BU28" i="16"/>
  <c r="BT28" i="16"/>
  <c r="BR28" i="16"/>
  <c r="BQ28" i="16"/>
  <c r="BO28" i="16"/>
  <c r="BN28" i="16"/>
  <c r="BL28" i="16"/>
  <c r="BK28" i="16"/>
  <c r="BI28" i="16"/>
  <c r="BH28" i="16"/>
  <c r="BF28" i="16"/>
  <c r="BE28" i="16"/>
  <c r="BC28" i="16"/>
  <c r="BB28" i="16"/>
  <c r="AZ28" i="16"/>
  <c r="AY28" i="16"/>
  <c r="AW28" i="16"/>
  <c r="AV28" i="16"/>
  <c r="AT28" i="16"/>
  <c r="AS28" i="16"/>
  <c r="AQ28" i="16"/>
  <c r="AP28" i="16"/>
  <c r="AN28" i="16"/>
  <c r="AM28" i="16"/>
  <c r="AK28" i="16"/>
  <c r="AJ28" i="16"/>
  <c r="AH28" i="16"/>
  <c r="AG28" i="16"/>
  <c r="AE28" i="16"/>
  <c r="AD28" i="16"/>
  <c r="AB28" i="16"/>
  <c r="AA28" i="16"/>
  <c r="Y28" i="16"/>
  <c r="X28" i="16"/>
  <c r="V28" i="16"/>
  <c r="U28" i="16"/>
  <c r="S28" i="16"/>
  <c r="R28" i="16"/>
  <c r="P28" i="16"/>
  <c r="O28" i="16"/>
  <c r="M28" i="16"/>
  <c r="L28" i="16"/>
  <c r="J28" i="16"/>
  <c r="I28" i="16"/>
  <c r="C30" i="16" s="1"/>
  <c r="CA26" i="16"/>
  <c r="BZ26" i="16"/>
  <c r="BX26" i="16"/>
  <c r="BW26" i="16"/>
  <c r="BU26" i="16"/>
  <c r="BT26" i="16"/>
  <c r="BR26" i="16"/>
  <c r="BQ26" i="16"/>
  <c r="BO26" i="16"/>
  <c r="BN26" i="16"/>
  <c r="BL26" i="16"/>
  <c r="BK26" i="16"/>
  <c r="BI26" i="16"/>
  <c r="BH26" i="16"/>
  <c r="BF26" i="16"/>
  <c r="BE26" i="16"/>
  <c r="BC26" i="16"/>
  <c r="BB26" i="16"/>
  <c r="AZ26" i="16"/>
  <c r="AY26" i="16"/>
  <c r="AW26" i="16"/>
  <c r="AV26" i="16"/>
  <c r="AT26" i="16"/>
  <c r="AS26" i="16"/>
  <c r="AQ26" i="16"/>
  <c r="AP26" i="16"/>
  <c r="AN26" i="16"/>
  <c r="AM26" i="16"/>
  <c r="AK26" i="16"/>
  <c r="AJ26" i="16"/>
  <c r="AH26" i="16"/>
  <c r="AG26" i="16"/>
  <c r="AE26" i="16"/>
  <c r="AD26" i="16"/>
  <c r="AB26" i="16"/>
  <c r="AA26" i="16"/>
  <c r="Y26" i="16"/>
  <c r="X26" i="16"/>
  <c r="V26" i="16"/>
  <c r="U26" i="16"/>
  <c r="S26" i="16"/>
  <c r="R26" i="16"/>
  <c r="P26" i="16"/>
  <c r="O26" i="16"/>
  <c r="M26" i="16"/>
  <c r="L26" i="16"/>
  <c r="J26" i="16"/>
  <c r="I26" i="16"/>
  <c r="CB25" i="16"/>
  <c r="BY25" i="16"/>
  <c r="BV25" i="16"/>
  <c r="BS25" i="16"/>
  <c r="BP25" i="16"/>
  <c r="BM25" i="16"/>
  <c r="BJ25" i="16"/>
  <c r="BG25" i="16"/>
  <c r="BD25" i="16"/>
  <c r="BA25" i="16"/>
  <c r="AX25" i="16"/>
  <c r="AU25" i="16"/>
  <c r="AR25" i="16"/>
  <c r="AO25" i="16"/>
  <c r="AL25" i="16"/>
  <c r="AI25" i="16"/>
  <c r="AF25" i="16"/>
  <c r="AC25" i="16"/>
  <c r="Z25" i="16"/>
  <c r="W25" i="16"/>
  <c r="T25" i="16"/>
  <c r="Q25" i="16"/>
  <c r="N25" i="16"/>
  <c r="K25" i="16"/>
  <c r="H25" i="16"/>
  <c r="CB24" i="16"/>
  <c r="BY24" i="16"/>
  <c r="BV24" i="16"/>
  <c r="BS24" i="16"/>
  <c r="BP24" i="16"/>
  <c r="BM24" i="16"/>
  <c r="BJ24" i="16"/>
  <c r="BG24" i="16"/>
  <c r="BD24" i="16"/>
  <c r="BA24" i="16"/>
  <c r="AX24" i="16"/>
  <c r="AU24" i="16"/>
  <c r="AR24" i="16"/>
  <c r="AO24" i="16"/>
  <c r="AL24" i="16"/>
  <c r="AI24" i="16"/>
  <c r="AF24" i="16"/>
  <c r="AC24" i="16"/>
  <c r="Z24" i="16"/>
  <c r="W24" i="16"/>
  <c r="T24" i="16"/>
  <c r="Q24" i="16"/>
  <c r="N24" i="16"/>
  <c r="K24" i="16"/>
  <c r="H24" i="16"/>
  <c r="CC18" i="16"/>
  <c r="CB18" i="16"/>
  <c r="BY18" i="16"/>
  <c r="BV18" i="16"/>
  <c r="BS18" i="16"/>
  <c r="BP18" i="16"/>
  <c r="BM18" i="16"/>
  <c r="BJ18" i="16"/>
  <c r="BG18" i="16"/>
  <c r="BD18" i="16"/>
  <c r="BA18" i="16"/>
  <c r="AX18" i="16"/>
  <c r="AU18" i="16"/>
  <c r="AR18" i="16"/>
  <c r="AO18" i="16"/>
  <c r="AL18" i="16"/>
  <c r="AI18" i="16"/>
  <c r="AF18" i="16"/>
  <c r="AC18" i="16"/>
  <c r="Z18" i="16"/>
  <c r="W18" i="16"/>
  <c r="T18" i="16"/>
  <c r="Q18" i="16"/>
  <c r="N18" i="16"/>
  <c r="K18" i="16"/>
  <c r="H18" i="16"/>
  <c r="CC16" i="16"/>
  <c r="CB16" i="16"/>
  <c r="BY16" i="16"/>
  <c r="BV16" i="16"/>
  <c r="BS16" i="16"/>
  <c r="BP16" i="16"/>
  <c r="BM16" i="16"/>
  <c r="BJ16" i="16"/>
  <c r="BG16" i="16"/>
  <c r="BD16" i="16"/>
  <c r="BA16" i="16"/>
  <c r="AX16" i="16"/>
  <c r="AU16" i="16"/>
  <c r="AR16" i="16"/>
  <c r="AO16" i="16"/>
  <c r="AL16" i="16"/>
  <c r="AI16" i="16"/>
  <c r="AF16" i="16"/>
  <c r="AC16" i="16"/>
  <c r="Z16" i="16"/>
  <c r="W16" i="16"/>
  <c r="T16" i="16"/>
  <c r="Q16" i="16"/>
  <c r="N16" i="16"/>
  <c r="K16" i="16"/>
  <c r="H16" i="16"/>
  <c r="CC10" i="16"/>
  <c r="CB10" i="16"/>
  <c r="BY10" i="16"/>
  <c r="BY28" i="16" s="1"/>
  <c r="BV10" i="16"/>
  <c r="BS10" i="16"/>
  <c r="BP10" i="16"/>
  <c r="BP28" i="16" s="1"/>
  <c r="BM10" i="16"/>
  <c r="BM28" i="16" s="1"/>
  <c r="BJ10" i="16"/>
  <c r="BG10" i="16"/>
  <c r="BG28" i="16" s="1"/>
  <c r="BD10" i="16"/>
  <c r="BA10" i="16"/>
  <c r="AX10" i="16"/>
  <c r="AX28" i="16" s="1"/>
  <c r="AU10" i="16"/>
  <c r="AU28" i="16" s="1"/>
  <c r="AR10" i="16"/>
  <c r="AO10" i="16"/>
  <c r="AO28" i="16" s="1"/>
  <c r="AL10" i="16"/>
  <c r="AI10" i="16"/>
  <c r="AF10" i="16"/>
  <c r="AF28" i="16" s="1"/>
  <c r="AC10" i="16"/>
  <c r="AC28" i="16" s="1"/>
  <c r="Z10" i="16"/>
  <c r="W10" i="16"/>
  <c r="W28" i="16" s="1"/>
  <c r="T10" i="16"/>
  <c r="Q10" i="16"/>
  <c r="N10" i="16"/>
  <c r="N28" i="16" s="1"/>
  <c r="K10" i="16"/>
  <c r="K28" i="16" s="1"/>
  <c r="H10" i="16"/>
  <c r="CC8" i="16"/>
  <c r="CB8" i="16"/>
  <c r="BY8" i="16"/>
  <c r="BV8" i="16"/>
  <c r="BV26" i="16" s="1"/>
  <c r="BS8" i="16"/>
  <c r="BS26" i="16" s="1"/>
  <c r="BP8" i="16"/>
  <c r="BM8" i="16"/>
  <c r="BM26" i="16" s="1"/>
  <c r="BJ8" i="16"/>
  <c r="BG8" i="16"/>
  <c r="BD8" i="16"/>
  <c r="BD26" i="16" s="1"/>
  <c r="BA8" i="16"/>
  <c r="BA26" i="16" s="1"/>
  <c r="AX8" i="16"/>
  <c r="AU8" i="16"/>
  <c r="AU26" i="16" s="1"/>
  <c r="AR8" i="16"/>
  <c r="AO8" i="16"/>
  <c r="AL8" i="16"/>
  <c r="AL26" i="16" s="1"/>
  <c r="AI8" i="16"/>
  <c r="AI26" i="16" s="1"/>
  <c r="AF8" i="16"/>
  <c r="AC8" i="16"/>
  <c r="AC26" i="16" s="1"/>
  <c r="Z8" i="16"/>
  <c r="W8" i="16"/>
  <c r="T8" i="16"/>
  <c r="T26" i="16" s="1"/>
  <c r="Q8" i="16"/>
  <c r="Q26" i="16" s="1"/>
  <c r="N8" i="16"/>
  <c r="K8" i="16"/>
  <c r="K26" i="16" s="1"/>
  <c r="H8" i="16"/>
  <c r="BZ3" i="16"/>
  <c r="CA57" i="15"/>
  <c r="BY57" i="15"/>
  <c r="BX57" i="15"/>
  <c r="BV57" i="15"/>
  <c r="BU57" i="15"/>
  <c r="BS57" i="15"/>
  <c r="BR57" i="15"/>
  <c r="BP57" i="15"/>
  <c r="BO57" i="15"/>
  <c r="BM57" i="15"/>
  <c r="BL57" i="15"/>
  <c r="BI57" i="15"/>
  <c r="BG57" i="15"/>
  <c r="BF57" i="15"/>
  <c r="BD57" i="15"/>
  <c r="BC57" i="15"/>
  <c r="BA57" i="15"/>
  <c r="AZ57" i="15"/>
  <c r="AX57" i="15"/>
  <c r="AW57" i="15"/>
  <c r="AU57" i="15"/>
  <c r="AT57" i="15"/>
  <c r="AR57" i="15"/>
  <c r="AQ57" i="15"/>
  <c r="AO57" i="15"/>
  <c r="AN57" i="15"/>
  <c r="AL57" i="15"/>
  <c r="AK57" i="15"/>
  <c r="AI57" i="15"/>
  <c r="AH57" i="15"/>
  <c r="AF57" i="15"/>
  <c r="AE57" i="15"/>
  <c r="AC57" i="15"/>
  <c r="AB57" i="15"/>
  <c r="Z57" i="15"/>
  <c r="Y57" i="15"/>
  <c r="W57" i="15"/>
  <c r="V57" i="15"/>
  <c r="T57" i="15"/>
  <c r="S57" i="15"/>
  <c r="Q57" i="15"/>
  <c r="P57" i="15"/>
  <c r="N57" i="15"/>
  <c r="M57" i="15"/>
  <c r="K57" i="15"/>
  <c r="J57" i="15"/>
  <c r="H57" i="15"/>
  <c r="CA54" i="15"/>
  <c r="BY54" i="15"/>
  <c r="BX54" i="15"/>
  <c r="BV54" i="15"/>
  <c r="BU54" i="15"/>
  <c r="BS54" i="15"/>
  <c r="BR54" i="15"/>
  <c r="BP54" i="15"/>
  <c r="BO54" i="15"/>
  <c r="BM54" i="15"/>
  <c r="BL54" i="15"/>
  <c r="BJ54" i="15"/>
  <c r="BI54" i="15"/>
  <c r="BG54" i="15"/>
  <c r="BF54" i="15"/>
  <c r="BD54" i="15"/>
  <c r="BC54" i="15"/>
  <c r="BA54" i="15"/>
  <c r="AZ54" i="15"/>
  <c r="AX54" i="15"/>
  <c r="AW54" i="15"/>
  <c r="AU54" i="15"/>
  <c r="AT54" i="15"/>
  <c r="AR54" i="15"/>
  <c r="AQ54" i="15"/>
  <c r="AO54" i="15"/>
  <c r="AN54" i="15"/>
  <c r="AL54" i="15"/>
  <c r="AK54" i="15"/>
  <c r="AI54" i="15"/>
  <c r="AH54" i="15"/>
  <c r="AF54" i="15"/>
  <c r="AE54" i="15"/>
  <c r="AC54" i="15"/>
  <c r="AB54" i="15"/>
  <c r="Z54" i="15"/>
  <c r="Y54" i="15"/>
  <c r="W54" i="15"/>
  <c r="V54" i="15"/>
  <c r="T54" i="15"/>
  <c r="S54" i="15"/>
  <c r="Q54" i="15"/>
  <c r="P54" i="15"/>
  <c r="N54" i="15"/>
  <c r="M54" i="15"/>
  <c r="K54" i="15"/>
  <c r="J54" i="15"/>
  <c r="H54" i="15"/>
  <c r="CA53" i="15"/>
  <c r="BY53" i="15"/>
  <c r="BX53" i="15"/>
  <c r="BV53" i="15"/>
  <c r="BU53" i="15"/>
  <c r="BS53" i="15"/>
  <c r="BR53" i="15"/>
  <c r="BP53" i="15"/>
  <c r="BO53" i="15"/>
  <c r="BM53" i="15"/>
  <c r="BL53" i="15"/>
  <c r="BJ53" i="15"/>
  <c r="BI53" i="15"/>
  <c r="BG53" i="15"/>
  <c r="BF53" i="15"/>
  <c r="BD53" i="15"/>
  <c r="BC53" i="15"/>
  <c r="BA53" i="15"/>
  <c r="AZ53" i="15"/>
  <c r="AX53" i="15"/>
  <c r="AW53" i="15"/>
  <c r="AU53" i="15"/>
  <c r="AT53" i="15"/>
  <c r="AR53" i="15"/>
  <c r="AQ53" i="15"/>
  <c r="AO53" i="15"/>
  <c r="AN53" i="15"/>
  <c r="AL53" i="15"/>
  <c r="AK53" i="15"/>
  <c r="AI53" i="15"/>
  <c r="AH53" i="15"/>
  <c r="AF53" i="15"/>
  <c r="AE53" i="15"/>
  <c r="AC53" i="15"/>
  <c r="AB53" i="15"/>
  <c r="Z53" i="15"/>
  <c r="Y53" i="15"/>
  <c r="W53" i="15"/>
  <c r="V53" i="15"/>
  <c r="T53" i="15"/>
  <c r="S53" i="15"/>
  <c r="Q53" i="15"/>
  <c r="P53" i="15"/>
  <c r="N53" i="15"/>
  <c r="M53" i="15"/>
  <c r="K53" i="15"/>
  <c r="J53" i="15"/>
  <c r="H53" i="15"/>
  <c r="CA52" i="15"/>
  <c r="BY52" i="15"/>
  <c r="BY59" i="15" s="1"/>
  <c r="BX52" i="15"/>
  <c r="BX59" i="15" s="1"/>
  <c r="BV52" i="15"/>
  <c r="BU52" i="15"/>
  <c r="BU59" i="15" s="1"/>
  <c r="BT60" i="15" s="1"/>
  <c r="BS52" i="15"/>
  <c r="BS59" i="15" s="1"/>
  <c r="BR52" i="15"/>
  <c r="BP52" i="15"/>
  <c r="BP59" i="15" s="1"/>
  <c r="BO52" i="15"/>
  <c r="BO59" i="15" s="1"/>
  <c r="BM52" i="15"/>
  <c r="BL52" i="15"/>
  <c r="BL59" i="15" s="1"/>
  <c r="BJ52" i="15"/>
  <c r="BI52" i="15"/>
  <c r="BI59" i="15" s="1"/>
  <c r="BG52" i="15"/>
  <c r="BG59" i="15" s="1"/>
  <c r="BF52" i="15"/>
  <c r="BF59" i="15" s="1"/>
  <c r="BD52" i="15"/>
  <c r="BD59" i="15" s="1"/>
  <c r="BC52" i="15"/>
  <c r="BC59" i="15" s="1"/>
  <c r="BB60" i="15" s="1"/>
  <c r="BA52" i="15"/>
  <c r="BA59" i="15" s="1"/>
  <c r="AZ52" i="15"/>
  <c r="AZ59" i="15" s="1"/>
  <c r="AX52" i="15"/>
  <c r="AX59" i="15" s="1"/>
  <c r="AW52" i="15"/>
  <c r="AW59" i="15" s="1"/>
  <c r="AU52" i="15"/>
  <c r="AU59" i="15" s="1"/>
  <c r="AT52" i="15"/>
  <c r="AT59" i="15" s="1"/>
  <c r="AS60" i="15" s="1"/>
  <c r="AR52" i="15"/>
  <c r="AR59" i="15" s="1"/>
  <c r="AQ52" i="15"/>
  <c r="AQ59" i="15" s="1"/>
  <c r="AO52" i="15"/>
  <c r="AO59" i="15" s="1"/>
  <c r="AN52" i="15"/>
  <c r="AN59" i="15" s="1"/>
  <c r="AL52" i="15"/>
  <c r="AL59" i="15" s="1"/>
  <c r="AK52" i="15"/>
  <c r="AK59" i="15" s="1"/>
  <c r="AJ60" i="15" s="1"/>
  <c r="AI52" i="15"/>
  <c r="AI59" i="15" s="1"/>
  <c r="AH52" i="15"/>
  <c r="AH59" i="15" s="1"/>
  <c r="AF52" i="15"/>
  <c r="AF59" i="15" s="1"/>
  <c r="AE52" i="15"/>
  <c r="AE59" i="15" s="1"/>
  <c r="AC52" i="15"/>
  <c r="AC59" i="15" s="1"/>
  <c r="AB52" i="15"/>
  <c r="AB59" i="15" s="1"/>
  <c r="AA60" i="15" s="1"/>
  <c r="Z52" i="15"/>
  <c r="Z59" i="15" s="1"/>
  <c r="Y52" i="15"/>
  <c r="Y59" i="15" s="1"/>
  <c r="W52" i="15"/>
  <c r="W59" i="15" s="1"/>
  <c r="V52" i="15"/>
  <c r="V59" i="15" s="1"/>
  <c r="T52" i="15"/>
  <c r="T59" i="15" s="1"/>
  <c r="S52" i="15"/>
  <c r="S59" i="15" s="1"/>
  <c r="R60" i="15" s="1"/>
  <c r="Q52" i="15"/>
  <c r="Q59" i="15" s="1"/>
  <c r="P52" i="15"/>
  <c r="P59" i="15" s="1"/>
  <c r="N52" i="15"/>
  <c r="N59" i="15" s="1"/>
  <c r="M52" i="15"/>
  <c r="M59" i="15" s="1"/>
  <c r="BJ57" i="15" s="1"/>
  <c r="K52" i="15"/>
  <c r="K59" i="15" s="1"/>
  <c r="J52" i="15"/>
  <c r="J59" i="15" s="1"/>
  <c r="H52" i="15"/>
  <c r="H59" i="15" s="1"/>
  <c r="CA49" i="15"/>
  <c r="BY49" i="15"/>
  <c r="BX49" i="15"/>
  <c r="BV49" i="15"/>
  <c r="BU49" i="15"/>
  <c r="BS49" i="15"/>
  <c r="BR49" i="15"/>
  <c r="BP49" i="15"/>
  <c r="BO49" i="15"/>
  <c r="BM49" i="15"/>
  <c r="BL49" i="15"/>
  <c r="BJ49" i="15"/>
  <c r="BI49" i="15"/>
  <c r="BG49" i="15"/>
  <c r="BF49" i="15"/>
  <c r="BD49" i="15"/>
  <c r="BC49" i="15"/>
  <c r="BA49" i="15"/>
  <c r="AZ49" i="15"/>
  <c r="AX49" i="15"/>
  <c r="AW49" i="15"/>
  <c r="AU49" i="15"/>
  <c r="AT49" i="15"/>
  <c r="AR49" i="15"/>
  <c r="AQ49" i="15"/>
  <c r="AO49" i="15"/>
  <c r="AN49" i="15"/>
  <c r="AL49" i="15"/>
  <c r="AK49" i="15"/>
  <c r="AI49" i="15"/>
  <c r="AH49" i="15"/>
  <c r="AF49" i="15"/>
  <c r="AE49" i="15"/>
  <c r="AC49" i="15"/>
  <c r="AB49" i="15"/>
  <c r="Z49" i="15"/>
  <c r="Y49" i="15"/>
  <c r="W49" i="15"/>
  <c r="V49" i="15"/>
  <c r="T49" i="15"/>
  <c r="S49" i="15"/>
  <c r="Q49" i="15"/>
  <c r="P49" i="15"/>
  <c r="N49" i="15"/>
  <c r="M49" i="15"/>
  <c r="K49" i="15"/>
  <c r="J49" i="15"/>
  <c r="H49" i="15"/>
  <c r="CA48" i="15"/>
  <c r="BY48" i="15"/>
  <c r="BX48" i="15"/>
  <c r="BV48" i="15"/>
  <c r="BU48" i="15"/>
  <c r="BS48" i="15"/>
  <c r="BR48" i="15"/>
  <c r="BP48" i="15"/>
  <c r="BO48" i="15"/>
  <c r="BM48" i="15"/>
  <c r="BL48" i="15"/>
  <c r="BJ48" i="15"/>
  <c r="BI48" i="15"/>
  <c r="BG48" i="15"/>
  <c r="BF48" i="15"/>
  <c r="BD48" i="15"/>
  <c r="BC48" i="15"/>
  <c r="BA48" i="15"/>
  <c r="AZ48" i="15"/>
  <c r="AX48" i="15"/>
  <c r="AW48" i="15"/>
  <c r="AU48" i="15"/>
  <c r="AT48" i="15"/>
  <c r="AR48" i="15"/>
  <c r="AQ48" i="15"/>
  <c r="AO48" i="15"/>
  <c r="AN48" i="15"/>
  <c r="AL48" i="15"/>
  <c r="AK48" i="15"/>
  <c r="AI48" i="15"/>
  <c r="AH48" i="15"/>
  <c r="AF48" i="15"/>
  <c r="AE48" i="15"/>
  <c r="AC48" i="15"/>
  <c r="AB48" i="15"/>
  <c r="Z48" i="15"/>
  <c r="Y48" i="15"/>
  <c r="W48" i="15"/>
  <c r="V48" i="15"/>
  <c r="T48" i="15"/>
  <c r="S48" i="15"/>
  <c r="Q48" i="15"/>
  <c r="P48" i="15"/>
  <c r="N48" i="15"/>
  <c r="M48" i="15"/>
  <c r="K48" i="15"/>
  <c r="J48" i="15"/>
  <c r="H48" i="15"/>
  <c r="CA44" i="15"/>
  <c r="BZ44" i="15"/>
  <c r="BX44" i="15"/>
  <c r="BW44" i="15"/>
  <c r="BU44" i="15"/>
  <c r="BT44" i="15"/>
  <c r="BR44" i="15"/>
  <c r="BQ44" i="15"/>
  <c r="BO44" i="15"/>
  <c r="BN44" i="15"/>
  <c r="BM44" i="15"/>
  <c r="BL44" i="15"/>
  <c r="BK44" i="15"/>
  <c r="BI44" i="15"/>
  <c r="BH44" i="15"/>
  <c r="BF44" i="15"/>
  <c r="BE44" i="15"/>
  <c r="BC44" i="15"/>
  <c r="BB44" i="15"/>
  <c r="AZ44" i="15"/>
  <c r="AY44" i="15"/>
  <c r="AX44" i="15"/>
  <c r="AW44" i="15"/>
  <c r="AV44" i="15"/>
  <c r="AT44" i="15"/>
  <c r="AS44" i="15"/>
  <c r="AQ44" i="15"/>
  <c r="AP44" i="15"/>
  <c r="AN44" i="15"/>
  <c r="AM44" i="15"/>
  <c r="AL44" i="15"/>
  <c r="AK44" i="15"/>
  <c r="AJ44" i="15"/>
  <c r="AH44" i="15"/>
  <c r="AG44" i="15"/>
  <c r="AE44" i="15"/>
  <c r="AD44" i="15"/>
  <c r="AB44" i="15"/>
  <c r="AA44" i="15"/>
  <c r="Y44" i="15"/>
  <c r="X44" i="15"/>
  <c r="V44" i="15"/>
  <c r="U44" i="15"/>
  <c r="S44" i="15"/>
  <c r="R44" i="15"/>
  <c r="P44" i="15"/>
  <c r="O44" i="15"/>
  <c r="M44" i="15"/>
  <c r="L44" i="15"/>
  <c r="K44" i="15"/>
  <c r="J44" i="15"/>
  <c r="I44" i="15"/>
  <c r="CA43" i="15"/>
  <c r="CA45" i="15" s="1"/>
  <c r="BZ43" i="15"/>
  <c r="BX43" i="15"/>
  <c r="BX45" i="15" s="1"/>
  <c r="BW43" i="15"/>
  <c r="BW45" i="15" s="1"/>
  <c r="BU43" i="15"/>
  <c r="BU45" i="15" s="1"/>
  <c r="BT43" i="15"/>
  <c r="BR43" i="15"/>
  <c r="BQ43" i="15"/>
  <c r="BQ45" i="15" s="1"/>
  <c r="BP43" i="15"/>
  <c r="BO43" i="15"/>
  <c r="BN43" i="15"/>
  <c r="BN45" i="15" s="1"/>
  <c r="BL43" i="15"/>
  <c r="BK43" i="15"/>
  <c r="BK45" i="15" s="1"/>
  <c r="BI43" i="15"/>
  <c r="BI45" i="15" s="1"/>
  <c r="BH43" i="15"/>
  <c r="BF43" i="15"/>
  <c r="BE43" i="15"/>
  <c r="BD43" i="15"/>
  <c r="BC43" i="15"/>
  <c r="BC45" i="15" s="1"/>
  <c r="BB43" i="15"/>
  <c r="AZ43" i="15"/>
  <c r="AZ45" i="15" s="1"/>
  <c r="AY43" i="15"/>
  <c r="AW43" i="15"/>
  <c r="AW45" i="15" s="1"/>
  <c r="AV43" i="15"/>
  <c r="AV45" i="15" s="1"/>
  <c r="AT43" i="15"/>
  <c r="AT45" i="15" s="1"/>
  <c r="AS43" i="15"/>
  <c r="AQ43" i="15"/>
  <c r="AP43" i="15"/>
  <c r="AP45" i="15" s="1"/>
  <c r="AN43" i="15"/>
  <c r="AM43" i="15"/>
  <c r="AM45" i="15" s="1"/>
  <c r="AK43" i="15"/>
  <c r="AJ43" i="15"/>
  <c r="AJ45" i="15" s="1"/>
  <c r="AH43" i="15"/>
  <c r="AH45" i="15" s="1"/>
  <c r="AG43" i="15"/>
  <c r="AE43" i="15"/>
  <c r="AD43" i="15"/>
  <c r="AC43" i="15"/>
  <c r="AC45" i="15" s="1"/>
  <c r="AB43" i="15"/>
  <c r="AB45" i="15" s="1"/>
  <c r="AA43" i="15"/>
  <c r="Y43" i="15"/>
  <c r="Y45" i="15" s="1"/>
  <c r="X43" i="15"/>
  <c r="V43" i="15"/>
  <c r="V45" i="15" s="1"/>
  <c r="U43" i="15"/>
  <c r="U45" i="15" s="1"/>
  <c r="S43" i="15"/>
  <c r="S45" i="15" s="1"/>
  <c r="R43" i="15"/>
  <c r="P43" i="15"/>
  <c r="O43" i="15"/>
  <c r="O45" i="15" s="1"/>
  <c r="N43" i="15"/>
  <c r="M43" i="15"/>
  <c r="L43" i="15"/>
  <c r="L45" i="15" s="1"/>
  <c r="J43" i="15"/>
  <c r="I43" i="15"/>
  <c r="I45" i="15" s="1"/>
  <c r="BY42" i="15"/>
  <c r="BV42" i="15"/>
  <c r="BS42" i="15"/>
  <c r="BP42" i="15"/>
  <c r="BM42" i="15"/>
  <c r="BJ42" i="15"/>
  <c r="BG42" i="15"/>
  <c r="BD42" i="15"/>
  <c r="BA42" i="15"/>
  <c r="AX42" i="15"/>
  <c r="AU42" i="15"/>
  <c r="AR42" i="15"/>
  <c r="AO42" i="15"/>
  <c r="AL42" i="15"/>
  <c r="AI42" i="15"/>
  <c r="AF42" i="15"/>
  <c r="AC42" i="15"/>
  <c r="Z42" i="15"/>
  <c r="W42" i="15"/>
  <c r="T42" i="15"/>
  <c r="Q42" i="15"/>
  <c r="N42" i="15"/>
  <c r="K42" i="15"/>
  <c r="H42" i="15"/>
  <c r="BY41" i="15"/>
  <c r="BV41" i="15"/>
  <c r="BS41" i="15"/>
  <c r="BP41" i="15"/>
  <c r="BM41" i="15"/>
  <c r="BJ41" i="15"/>
  <c r="BG41" i="15"/>
  <c r="BD41" i="15"/>
  <c r="BA41" i="15"/>
  <c r="AX41" i="15"/>
  <c r="AU41" i="15"/>
  <c r="AR41" i="15"/>
  <c r="AO41" i="15"/>
  <c r="AL41" i="15"/>
  <c r="AI41" i="15"/>
  <c r="AF41" i="15"/>
  <c r="AC41" i="15"/>
  <c r="Z41" i="15"/>
  <c r="W41" i="15"/>
  <c r="T41" i="15"/>
  <c r="Q41" i="15"/>
  <c r="N41" i="15"/>
  <c r="K41" i="15"/>
  <c r="H41" i="15"/>
  <c r="BY40" i="15"/>
  <c r="BY44" i="15" s="1"/>
  <c r="BV40" i="15"/>
  <c r="BS40" i="15"/>
  <c r="BP40" i="15"/>
  <c r="BP44" i="15" s="1"/>
  <c r="BM40" i="15"/>
  <c r="BJ40" i="15"/>
  <c r="BG40" i="15"/>
  <c r="BG44" i="15" s="1"/>
  <c r="BD40" i="15"/>
  <c r="BD44" i="15" s="1"/>
  <c r="BA40" i="15"/>
  <c r="AX40" i="15"/>
  <c r="AU40" i="15"/>
  <c r="AU44" i="15" s="1"/>
  <c r="AR40" i="15"/>
  <c r="AO40" i="15"/>
  <c r="AO44" i="15" s="1"/>
  <c r="AL40" i="15"/>
  <c r="AI40" i="15"/>
  <c r="AF40" i="15"/>
  <c r="AF44" i="15" s="1"/>
  <c r="AC40" i="15"/>
  <c r="AC44" i="15" s="1"/>
  <c r="Z40" i="15"/>
  <c r="W40" i="15"/>
  <c r="W44" i="15" s="1"/>
  <c r="T40" i="15"/>
  <c r="Q40" i="15"/>
  <c r="N40" i="15"/>
  <c r="N44" i="15" s="1"/>
  <c r="K40" i="15"/>
  <c r="H40" i="15"/>
  <c r="BY39" i="15"/>
  <c r="BV39" i="15"/>
  <c r="BS39" i="15"/>
  <c r="BP39" i="15"/>
  <c r="BM39" i="15"/>
  <c r="BJ39" i="15"/>
  <c r="BG39" i="15"/>
  <c r="BD39" i="15"/>
  <c r="BA39" i="15"/>
  <c r="AX39" i="15"/>
  <c r="AU39" i="15"/>
  <c r="AR39" i="15"/>
  <c r="AO39" i="15"/>
  <c r="AL39" i="15"/>
  <c r="AI39" i="15"/>
  <c r="AF39" i="15"/>
  <c r="AC39" i="15"/>
  <c r="Z39" i="15"/>
  <c r="W39" i="15"/>
  <c r="T39" i="15"/>
  <c r="Q39" i="15"/>
  <c r="N39" i="15"/>
  <c r="K39" i="15"/>
  <c r="H39" i="15"/>
  <c r="BY38" i="15"/>
  <c r="BV38" i="15"/>
  <c r="BV44" i="15" s="1"/>
  <c r="BS38" i="15"/>
  <c r="BP38" i="15"/>
  <c r="BM38" i="15"/>
  <c r="BJ38" i="15"/>
  <c r="BG38" i="15"/>
  <c r="BD38" i="15"/>
  <c r="BA38" i="15"/>
  <c r="AX38" i="15"/>
  <c r="AU38" i="15"/>
  <c r="AR38" i="15"/>
  <c r="AO38" i="15"/>
  <c r="AL38" i="15"/>
  <c r="AI38" i="15"/>
  <c r="AF38" i="15"/>
  <c r="AC38" i="15"/>
  <c r="Z38" i="15"/>
  <c r="W38" i="15"/>
  <c r="T38" i="15"/>
  <c r="Q38" i="15"/>
  <c r="N38" i="15"/>
  <c r="K38" i="15"/>
  <c r="H38" i="15"/>
  <c r="BY37" i="15"/>
  <c r="BV37" i="15"/>
  <c r="BS37" i="15"/>
  <c r="BP37" i="15"/>
  <c r="BM37" i="15"/>
  <c r="BJ37" i="15"/>
  <c r="BG37" i="15"/>
  <c r="BD37" i="15"/>
  <c r="BA37" i="15"/>
  <c r="AX37" i="15"/>
  <c r="AU37" i="15"/>
  <c r="AR37" i="15"/>
  <c r="AO37" i="15"/>
  <c r="AL37" i="15"/>
  <c r="AI37" i="15"/>
  <c r="AF37" i="15"/>
  <c r="AC37" i="15"/>
  <c r="Z37" i="15"/>
  <c r="W37" i="15"/>
  <c r="T37" i="15"/>
  <c r="Q37" i="15"/>
  <c r="N37" i="15"/>
  <c r="K37" i="15"/>
  <c r="H37" i="15"/>
  <c r="BY36" i="15"/>
  <c r="BV36" i="15"/>
  <c r="BS36" i="15"/>
  <c r="BP36" i="15"/>
  <c r="BM36" i="15"/>
  <c r="BJ36" i="15"/>
  <c r="BG36" i="15"/>
  <c r="BD36" i="15"/>
  <c r="BA36" i="15"/>
  <c r="AX36" i="15"/>
  <c r="AU36" i="15"/>
  <c r="AR36" i="15"/>
  <c r="AO36" i="15"/>
  <c r="AL36" i="15"/>
  <c r="AI36" i="15"/>
  <c r="AF36" i="15"/>
  <c r="AC36" i="15"/>
  <c r="Z36" i="15"/>
  <c r="W36" i="15"/>
  <c r="T36" i="15"/>
  <c r="T44" i="15" s="1"/>
  <c r="Q36" i="15"/>
  <c r="N36" i="15"/>
  <c r="K36" i="15"/>
  <c r="H36" i="15"/>
  <c r="BY35" i="15"/>
  <c r="BV35" i="15"/>
  <c r="BS35" i="15"/>
  <c r="BP35" i="15"/>
  <c r="BM35" i="15"/>
  <c r="BJ35" i="15"/>
  <c r="BG35" i="15"/>
  <c r="BD35" i="15"/>
  <c r="BA35" i="15"/>
  <c r="AX35" i="15"/>
  <c r="AU35" i="15"/>
  <c r="AR35" i="15"/>
  <c r="AO35" i="15"/>
  <c r="AL35" i="15"/>
  <c r="AI35" i="15"/>
  <c r="AF35" i="15"/>
  <c r="AC35" i="15"/>
  <c r="Z35" i="15"/>
  <c r="W35" i="15"/>
  <c r="T35" i="15"/>
  <c r="Q35" i="15"/>
  <c r="N35" i="15"/>
  <c r="K35" i="15"/>
  <c r="H35" i="15"/>
  <c r="BY34" i="15"/>
  <c r="BV34" i="15"/>
  <c r="BS34" i="15"/>
  <c r="BP34" i="15"/>
  <c r="BM34" i="15"/>
  <c r="BJ34" i="15"/>
  <c r="BG34" i="15"/>
  <c r="BD34" i="15"/>
  <c r="BA34" i="15"/>
  <c r="AX34" i="15"/>
  <c r="AU34" i="15"/>
  <c r="AR34" i="15"/>
  <c r="AO34" i="15"/>
  <c r="AL34" i="15"/>
  <c r="AI34" i="15"/>
  <c r="AF34" i="15"/>
  <c r="AC34" i="15"/>
  <c r="Z34" i="15"/>
  <c r="W34" i="15"/>
  <c r="T34" i="15"/>
  <c r="Q34" i="15"/>
  <c r="N34" i="15"/>
  <c r="K34" i="15"/>
  <c r="H34" i="15"/>
  <c r="BY33" i="15"/>
  <c r="BV33" i="15"/>
  <c r="BS33" i="15"/>
  <c r="BP33" i="15"/>
  <c r="BM33" i="15"/>
  <c r="BJ33" i="15"/>
  <c r="BG33" i="15"/>
  <c r="BD33" i="15"/>
  <c r="BA33" i="15"/>
  <c r="AX33" i="15"/>
  <c r="AU33" i="15"/>
  <c r="AR33" i="15"/>
  <c r="AO33" i="15"/>
  <c r="AL33" i="15"/>
  <c r="AI33" i="15"/>
  <c r="AF33" i="15"/>
  <c r="AC33" i="15"/>
  <c r="Z33" i="15"/>
  <c r="W33" i="15"/>
  <c r="T33" i="15"/>
  <c r="Q33" i="15"/>
  <c r="N33" i="15"/>
  <c r="K33" i="15"/>
  <c r="H33" i="15"/>
  <c r="BY32" i="15"/>
  <c r="BV32" i="15"/>
  <c r="BS32" i="15"/>
  <c r="BP32" i="15"/>
  <c r="BM32" i="15"/>
  <c r="BJ32" i="15"/>
  <c r="BG32" i="15"/>
  <c r="BD32" i="15"/>
  <c r="BA32" i="15"/>
  <c r="AX32" i="15"/>
  <c r="AU32" i="15"/>
  <c r="AR32" i="15"/>
  <c r="AO32" i="15"/>
  <c r="AL32" i="15"/>
  <c r="AI32" i="15"/>
  <c r="AF32" i="15"/>
  <c r="AC32" i="15"/>
  <c r="Z32" i="15"/>
  <c r="W32" i="15"/>
  <c r="T32" i="15"/>
  <c r="Q32" i="15"/>
  <c r="N32" i="15"/>
  <c r="K32" i="15"/>
  <c r="H32" i="15"/>
  <c r="BY31" i="15"/>
  <c r="BV31" i="15"/>
  <c r="BS31" i="15"/>
  <c r="BP31" i="15"/>
  <c r="BM31" i="15"/>
  <c r="BJ31" i="15"/>
  <c r="BG31" i="15"/>
  <c r="BD31" i="15"/>
  <c r="BA31" i="15"/>
  <c r="AX31" i="15"/>
  <c r="AU31" i="15"/>
  <c r="AR31" i="15"/>
  <c r="AO31" i="15"/>
  <c r="AL31" i="15"/>
  <c r="AI31" i="15"/>
  <c r="AF31" i="15"/>
  <c r="AC31" i="15"/>
  <c r="Z31" i="15"/>
  <c r="W31" i="15"/>
  <c r="T31" i="15"/>
  <c r="Q31" i="15"/>
  <c r="N31" i="15"/>
  <c r="K31" i="15"/>
  <c r="H31" i="15"/>
  <c r="BY30" i="15"/>
  <c r="BV30" i="15"/>
  <c r="BS30" i="15"/>
  <c r="BP30" i="15"/>
  <c r="BM30" i="15"/>
  <c r="BJ30" i="15"/>
  <c r="BG30" i="15"/>
  <c r="BD30" i="15"/>
  <c r="BA30" i="15"/>
  <c r="AX30" i="15"/>
  <c r="AU30" i="15"/>
  <c r="AR30" i="15"/>
  <c r="AO30" i="15"/>
  <c r="AL30" i="15"/>
  <c r="AI30" i="15"/>
  <c r="AF30" i="15"/>
  <c r="AC30" i="15"/>
  <c r="Z30" i="15"/>
  <c r="W30" i="15"/>
  <c r="T30" i="15"/>
  <c r="Q30" i="15"/>
  <c r="N30" i="15"/>
  <c r="K30" i="15"/>
  <c r="H30" i="15"/>
  <c r="BY29" i="15"/>
  <c r="BY43" i="15" s="1"/>
  <c r="BY45" i="15" s="1"/>
  <c r="BV29" i="15"/>
  <c r="BV43" i="15" s="1"/>
  <c r="BV45" i="15" s="1"/>
  <c r="BS29" i="15"/>
  <c r="BS43" i="15" s="1"/>
  <c r="BP29" i="15"/>
  <c r="BM29" i="15"/>
  <c r="BM43" i="15" s="1"/>
  <c r="BJ29" i="15"/>
  <c r="BJ43" i="15" s="1"/>
  <c r="BG29" i="15"/>
  <c r="BG43" i="15" s="1"/>
  <c r="BG45" i="15" s="1"/>
  <c r="BD29" i="15"/>
  <c r="BA29" i="15"/>
  <c r="BA43" i="15" s="1"/>
  <c r="AX29" i="15"/>
  <c r="AX43" i="15" s="1"/>
  <c r="AX45" i="15" s="1"/>
  <c r="AU29" i="15"/>
  <c r="AU43" i="15" s="1"/>
  <c r="AU45" i="15" s="1"/>
  <c r="AR29" i="15"/>
  <c r="AR43" i="15" s="1"/>
  <c r="AO29" i="15"/>
  <c r="AO43" i="15" s="1"/>
  <c r="AO45" i="15" s="1"/>
  <c r="AL29" i="15"/>
  <c r="AL43" i="15" s="1"/>
  <c r="AL45" i="15" s="1"/>
  <c r="AI29" i="15"/>
  <c r="AI43" i="15" s="1"/>
  <c r="AF29" i="15"/>
  <c r="AF43" i="15" s="1"/>
  <c r="AF45" i="15" s="1"/>
  <c r="AC29" i="15"/>
  <c r="Z29" i="15"/>
  <c r="Z43" i="15" s="1"/>
  <c r="W29" i="15"/>
  <c r="W43" i="15" s="1"/>
  <c r="W45" i="15" s="1"/>
  <c r="T29" i="15"/>
  <c r="T43" i="15" s="1"/>
  <c r="T45" i="15" s="1"/>
  <c r="Q29" i="15"/>
  <c r="Q43" i="15" s="1"/>
  <c r="N29" i="15"/>
  <c r="K29" i="15"/>
  <c r="K43" i="15" s="1"/>
  <c r="H29" i="15"/>
  <c r="H43" i="15" s="1"/>
  <c r="CA23" i="15"/>
  <c r="BZ23" i="15"/>
  <c r="BX23" i="15"/>
  <c r="BW23" i="15"/>
  <c r="BU23" i="15"/>
  <c r="BT23" i="15"/>
  <c r="BR23" i="15"/>
  <c r="BQ23" i="15"/>
  <c r="BO23" i="15"/>
  <c r="BN23" i="15"/>
  <c r="BL23" i="15"/>
  <c r="BK23" i="15"/>
  <c r="BI23" i="15"/>
  <c r="BH23" i="15"/>
  <c r="BF23" i="15"/>
  <c r="BE23" i="15"/>
  <c r="BC23" i="15"/>
  <c r="BB23" i="15"/>
  <c r="AZ23" i="15"/>
  <c r="AY23" i="15"/>
  <c r="AW23" i="15"/>
  <c r="AV23" i="15"/>
  <c r="AT23" i="15"/>
  <c r="AS23" i="15"/>
  <c r="AQ23" i="15"/>
  <c r="AP23" i="15"/>
  <c r="AN23" i="15"/>
  <c r="AM23" i="15"/>
  <c r="AK23" i="15"/>
  <c r="AJ23" i="15"/>
  <c r="AH23" i="15"/>
  <c r="AG23" i="15"/>
  <c r="AE23" i="15"/>
  <c r="AD23" i="15"/>
  <c r="AB23" i="15"/>
  <c r="AA23" i="15"/>
  <c r="Y23" i="15"/>
  <c r="X23" i="15"/>
  <c r="V23" i="15"/>
  <c r="U23" i="15"/>
  <c r="S23" i="15"/>
  <c r="R23" i="15"/>
  <c r="P23" i="15"/>
  <c r="O23" i="15"/>
  <c r="M23" i="15"/>
  <c r="L23" i="15"/>
  <c r="J23" i="15"/>
  <c r="I23" i="15"/>
  <c r="CA22" i="15"/>
  <c r="BZ22" i="15"/>
  <c r="BX22" i="15"/>
  <c r="BW22" i="15"/>
  <c r="BU22" i="15"/>
  <c r="BT22" i="15"/>
  <c r="BR22" i="15"/>
  <c r="BQ22" i="15"/>
  <c r="BO22" i="15"/>
  <c r="BN22" i="15"/>
  <c r="BL22" i="15"/>
  <c r="BK22" i="15"/>
  <c r="BI22" i="15"/>
  <c r="BH22" i="15"/>
  <c r="BF22" i="15"/>
  <c r="BE22" i="15"/>
  <c r="BC22" i="15"/>
  <c r="BB22" i="15"/>
  <c r="AZ22" i="15"/>
  <c r="AY22" i="15"/>
  <c r="AW22" i="15"/>
  <c r="AV22" i="15"/>
  <c r="AT22" i="15"/>
  <c r="AS22" i="15"/>
  <c r="AQ22" i="15"/>
  <c r="AP22" i="15"/>
  <c r="AN22" i="15"/>
  <c r="AM22" i="15"/>
  <c r="AK22" i="15"/>
  <c r="AJ22" i="15"/>
  <c r="AH22" i="15"/>
  <c r="AG22" i="15"/>
  <c r="AE22" i="15"/>
  <c r="AD22" i="15"/>
  <c r="AB22" i="15"/>
  <c r="AA22" i="15"/>
  <c r="Y22" i="15"/>
  <c r="X22" i="15"/>
  <c r="V22" i="15"/>
  <c r="U22" i="15"/>
  <c r="S22" i="15"/>
  <c r="R22" i="15"/>
  <c r="P22" i="15"/>
  <c r="O22" i="15"/>
  <c r="M22" i="15"/>
  <c r="L22" i="15"/>
  <c r="J22" i="15"/>
  <c r="I22" i="15"/>
  <c r="CB21" i="15"/>
  <c r="BY21" i="15"/>
  <c r="BV21" i="15"/>
  <c r="BS21" i="15"/>
  <c r="BP21" i="15"/>
  <c r="BM21" i="15"/>
  <c r="BJ21" i="15"/>
  <c r="BG21" i="15"/>
  <c r="BD21" i="15"/>
  <c r="BA21" i="15"/>
  <c r="AX21" i="15"/>
  <c r="AU21" i="15"/>
  <c r="AR21" i="15"/>
  <c r="AO21" i="15"/>
  <c r="AL21" i="15"/>
  <c r="AI21" i="15"/>
  <c r="AF21" i="15"/>
  <c r="AC21" i="15"/>
  <c r="Z21" i="15"/>
  <c r="W21" i="15"/>
  <c r="T21" i="15"/>
  <c r="Q21" i="15"/>
  <c r="N21" i="15"/>
  <c r="K21" i="15"/>
  <c r="H21" i="15"/>
  <c r="CB20" i="15"/>
  <c r="BY20" i="15"/>
  <c r="BV20" i="15"/>
  <c r="BS20" i="15"/>
  <c r="BP20" i="15"/>
  <c r="BM20" i="15"/>
  <c r="BJ20" i="15"/>
  <c r="BG20" i="15"/>
  <c r="BD20" i="15"/>
  <c r="BA20" i="15"/>
  <c r="AX20" i="15"/>
  <c r="AU20" i="15"/>
  <c r="AR20" i="15"/>
  <c r="AO20" i="15"/>
  <c r="AL20" i="15"/>
  <c r="AI20" i="15"/>
  <c r="AF20" i="15"/>
  <c r="AC20" i="15"/>
  <c r="Z20" i="15"/>
  <c r="W20" i="15"/>
  <c r="T20" i="15"/>
  <c r="Q20" i="15"/>
  <c r="N20" i="15"/>
  <c r="K20" i="15"/>
  <c r="H20" i="15"/>
  <c r="CC15" i="15"/>
  <c r="CB15" i="15"/>
  <c r="BY15" i="15"/>
  <c r="BV15" i="15"/>
  <c r="BS15" i="15"/>
  <c r="BP15" i="15"/>
  <c r="BM15" i="15"/>
  <c r="BJ15" i="15"/>
  <c r="BG15" i="15"/>
  <c r="BD15" i="15"/>
  <c r="BA15" i="15"/>
  <c r="AX15" i="15"/>
  <c r="AU15" i="15"/>
  <c r="AR15" i="15"/>
  <c r="AO15" i="15"/>
  <c r="AL15" i="15"/>
  <c r="AI15" i="15"/>
  <c r="AF15" i="15"/>
  <c r="AC15" i="15"/>
  <c r="Z15" i="15"/>
  <c r="W15" i="15"/>
  <c r="T15" i="15"/>
  <c r="Q15" i="15"/>
  <c r="N15" i="15"/>
  <c r="K15" i="15"/>
  <c r="H15" i="15"/>
  <c r="CC14" i="15"/>
  <c r="CB14" i="15"/>
  <c r="BY14" i="15"/>
  <c r="BV14" i="15"/>
  <c r="BS14" i="15"/>
  <c r="BP14" i="15"/>
  <c r="BM14" i="15"/>
  <c r="BJ14" i="15"/>
  <c r="BG14" i="15"/>
  <c r="BD14" i="15"/>
  <c r="BA14" i="15"/>
  <c r="AX14" i="15"/>
  <c r="AU14" i="15"/>
  <c r="AR14" i="15"/>
  <c r="AO14" i="15"/>
  <c r="AL14" i="15"/>
  <c r="AI14" i="15"/>
  <c r="AF14" i="15"/>
  <c r="AC14" i="15"/>
  <c r="Z14" i="15"/>
  <c r="W14" i="15"/>
  <c r="T14" i="15"/>
  <c r="Q14" i="15"/>
  <c r="N14" i="15"/>
  <c r="K14" i="15"/>
  <c r="H14" i="15"/>
  <c r="CC9" i="15"/>
  <c r="CB9" i="15"/>
  <c r="BY9" i="15"/>
  <c r="BY23" i="15" s="1"/>
  <c r="BV9" i="15"/>
  <c r="BS9" i="15"/>
  <c r="BP9" i="15"/>
  <c r="BP23" i="15" s="1"/>
  <c r="BM9" i="15"/>
  <c r="BM23" i="15" s="1"/>
  <c r="BJ9" i="15"/>
  <c r="BG9" i="15"/>
  <c r="BG23" i="15" s="1"/>
  <c r="BD9" i="15"/>
  <c r="BA9" i="15"/>
  <c r="AX9" i="15"/>
  <c r="AX23" i="15" s="1"/>
  <c r="AU9" i="15"/>
  <c r="AU23" i="15" s="1"/>
  <c r="AR9" i="15"/>
  <c r="AO9" i="15"/>
  <c r="AO23" i="15" s="1"/>
  <c r="AL9" i="15"/>
  <c r="AI9" i="15"/>
  <c r="AF9" i="15"/>
  <c r="AF23" i="15" s="1"/>
  <c r="AC9" i="15"/>
  <c r="AC23" i="15" s="1"/>
  <c r="Z9" i="15"/>
  <c r="W9" i="15"/>
  <c r="W23" i="15" s="1"/>
  <c r="T9" i="15"/>
  <c r="Q9" i="15"/>
  <c r="N9" i="15"/>
  <c r="N23" i="15" s="1"/>
  <c r="K9" i="15"/>
  <c r="K23" i="15" s="1"/>
  <c r="H9" i="15"/>
  <c r="CC8" i="15"/>
  <c r="CB8" i="15"/>
  <c r="BY8" i="15"/>
  <c r="BV8" i="15"/>
  <c r="BV22" i="15" s="1"/>
  <c r="BS8" i="15"/>
  <c r="BS22" i="15" s="1"/>
  <c r="BP8" i="15"/>
  <c r="BM8" i="15"/>
  <c r="BM22" i="15" s="1"/>
  <c r="BJ8" i="15"/>
  <c r="BG8" i="15"/>
  <c r="BG22" i="15" s="1"/>
  <c r="BD8" i="15"/>
  <c r="BD22" i="15" s="1"/>
  <c r="BA8" i="15"/>
  <c r="BA22" i="15" s="1"/>
  <c r="AX8" i="15"/>
  <c r="AU8" i="15"/>
  <c r="AU22" i="15" s="1"/>
  <c r="AR8" i="15"/>
  <c r="AO8" i="15"/>
  <c r="AO22" i="15" s="1"/>
  <c r="AL8" i="15"/>
  <c r="AL22" i="15" s="1"/>
  <c r="AI8" i="15"/>
  <c r="AI22" i="15" s="1"/>
  <c r="AF8" i="15"/>
  <c r="AC8" i="15"/>
  <c r="AC22" i="15" s="1"/>
  <c r="Z8" i="15"/>
  <c r="W8" i="15"/>
  <c r="W22" i="15" s="1"/>
  <c r="T8" i="15"/>
  <c r="T22" i="15" s="1"/>
  <c r="Q8" i="15"/>
  <c r="Q22" i="15" s="1"/>
  <c r="N8" i="15"/>
  <c r="K8" i="15"/>
  <c r="K22" i="15" s="1"/>
  <c r="H8" i="15"/>
  <c r="BZ3" i="15"/>
  <c r="BT45" i="14"/>
  <c r="BN45" i="14"/>
  <c r="AJ45" i="14"/>
  <c r="AD45" i="14"/>
  <c r="CA44" i="14"/>
  <c r="BZ44" i="14"/>
  <c r="BZ15" i="14" s="1"/>
  <c r="BX44" i="14"/>
  <c r="BW44" i="14"/>
  <c r="BU44" i="14"/>
  <c r="BT44" i="14"/>
  <c r="BR44" i="14"/>
  <c r="BQ44" i="14"/>
  <c r="BQ15" i="14" s="1"/>
  <c r="BO44" i="14"/>
  <c r="BO45" i="14" s="1"/>
  <c r="BN44" i="14"/>
  <c r="BL44" i="14"/>
  <c r="BK44" i="14"/>
  <c r="BI44" i="14"/>
  <c r="BH44" i="14"/>
  <c r="BH15" i="14" s="1"/>
  <c r="BF44" i="14"/>
  <c r="BE44" i="14"/>
  <c r="BC44" i="14"/>
  <c r="BC45" i="14" s="1"/>
  <c r="BB44" i="14"/>
  <c r="AZ44" i="14"/>
  <c r="AZ15" i="14" s="1"/>
  <c r="AZ14" i="14" s="1"/>
  <c r="AZ57" i="14" s="1"/>
  <c r="AY44" i="14"/>
  <c r="AY15" i="14" s="1"/>
  <c r="AY14" i="14" s="1"/>
  <c r="AW44" i="14"/>
  <c r="AW45" i="14" s="1"/>
  <c r="AV44" i="14"/>
  <c r="AT44" i="14"/>
  <c r="AT15" i="14" s="1"/>
  <c r="AT14" i="14" s="1"/>
  <c r="AT57" i="14" s="1"/>
  <c r="AS44" i="14"/>
  <c r="AQ44" i="14"/>
  <c r="AP44" i="14"/>
  <c r="AP15" i="14" s="1"/>
  <c r="AN44" i="14"/>
  <c r="AM44" i="14"/>
  <c r="AK44" i="14"/>
  <c r="AK45" i="14" s="1"/>
  <c r="AJ44" i="14"/>
  <c r="AH44" i="14"/>
  <c r="AH15" i="14" s="1"/>
  <c r="AH14" i="14" s="1"/>
  <c r="AH57" i="14" s="1"/>
  <c r="AG44" i="14"/>
  <c r="AG15" i="14" s="1"/>
  <c r="AG14" i="14" s="1"/>
  <c r="AE44" i="14"/>
  <c r="AD44" i="14"/>
  <c r="AB44" i="14"/>
  <c r="AA44" i="14"/>
  <c r="Y44" i="14"/>
  <c r="X44" i="14"/>
  <c r="V44" i="14"/>
  <c r="U44" i="14"/>
  <c r="S44" i="14"/>
  <c r="R44" i="14"/>
  <c r="P44" i="14"/>
  <c r="P15" i="14" s="1"/>
  <c r="P14" i="14" s="1"/>
  <c r="P57" i="14" s="1"/>
  <c r="O44" i="14"/>
  <c r="M44" i="14"/>
  <c r="L44" i="14"/>
  <c r="J44" i="14"/>
  <c r="I44" i="14"/>
  <c r="CA43" i="14"/>
  <c r="CA9" i="14" s="1"/>
  <c r="CA8" i="14" s="1"/>
  <c r="BZ43" i="14"/>
  <c r="BZ45" i="14" s="1"/>
  <c r="BX43" i="14"/>
  <c r="BW43" i="14"/>
  <c r="BU43" i="14"/>
  <c r="BT43" i="14"/>
  <c r="BT9" i="14" s="1"/>
  <c r="BR43" i="14"/>
  <c r="BR9" i="14" s="1"/>
  <c r="BR21" i="14" s="1"/>
  <c r="BQ43" i="14"/>
  <c r="BO43" i="14"/>
  <c r="BN43" i="14"/>
  <c r="BL43" i="14"/>
  <c r="BK43" i="14"/>
  <c r="BK45" i="14" s="1"/>
  <c r="BI43" i="14"/>
  <c r="BI9" i="14" s="1"/>
  <c r="BI8" i="14" s="1"/>
  <c r="BH43" i="14"/>
  <c r="BH45" i="14" s="1"/>
  <c r="BF43" i="14"/>
  <c r="BE43" i="14"/>
  <c r="BE45" i="14" s="1"/>
  <c r="BC43" i="14"/>
  <c r="BB43" i="14"/>
  <c r="BB45" i="14" s="1"/>
  <c r="AZ43" i="14"/>
  <c r="AY43" i="14"/>
  <c r="AW43" i="14"/>
  <c r="AV43" i="14"/>
  <c r="AV45" i="14" s="1"/>
  <c r="AT43" i="14"/>
  <c r="AS43" i="14"/>
  <c r="AS45" i="14" s="1"/>
  <c r="AQ43" i="14"/>
  <c r="AQ9" i="14" s="1"/>
  <c r="AP43" i="14"/>
  <c r="AP45" i="14" s="1"/>
  <c r="AN43" i="14"/>
  <c r="AM43" i="14"/>
  <c r="AM45" i="14" s="1"/>
  <c r="AK43" i="14"/>
  <c r="AJ43" i="14"/>
  <c r="AH43" i="14"/>
  <c r="AG43" i="14"/>
  <c r="AE43" i="14"/>
  <c r="AD43" i="14"/>
  <c r="AB43" i="14"/>
  <c r="AB45" i="14" s="1"/>
  <c r="AA43" i="14"/>
  <c r="AA45" i="14" s="1"/>
  <c r="Y43" i="14"/>
  <c r="Y9" i="14" s="1"/>
  <c r="X43" i="14"/>
  <c r="X45" i="14" s="1"/>
  <c r="V43" i="14"/>
  <c r="V45" i="14" s="1"/>
  <c r="U43" i="14"/>
  <c r="U45" i="14" s="1"/>
  <c r="S43" i="14"/>
  <c r="R43" i="14"/>
  <c r="R45" i="14" s="1"/>
  <c r="P43" i="14"/>
  <c r="P45" i="14" s="1"/>
  <c r="O43" i="14"/>
  <c r="O45" i="14" s="1"/>
  <c r="M43" i="14"/>
  <c r="L43" i="14"/>
  <c r="L45" i="14" s="1"/>
  <c r="J43" i="14"/>
  <c r="I43" i="14"/>
  <c r="CC42" i="14"/>
  <c r="CB42" i="14"/>
  <c r="BY42" i="14"/>
  <c r="BV42" i="14"/>
  <c r="BS42" i="14"/>
  <c r="BP42" i="14"/>
  <c r="BM42" i="14"/>
  <c r="BJ42" i="14"/>
  <c r="BG42" i="14"/>
  <c r="BD42" i="14"/>
  <c r="BA42" i="14"/>
  <c r="AX42" i="14"/>
  <c r="AU42" i="14"/>
  <c r="AR42" i="14"/>
  <c r="AO42" i="14"/>
  <c r="AL42" i="14"/>
  <c r="AI42" i="14"/>
  <c r="AF42" i="14"/>
  <c r="AC42" i="14"/>
  <c r="Z42" i="14"/>
  <c r="W42" i="14"/>
  <c r="T42" i="14"/>
  <c r="Q42" i="14"/>
  <c r="N42" i="14"/>
  <c r="K42" i="14"/>
  <c r="H42" i="14"/>
  <c r="CC41" i="14"/>
  <c r="CB41" i="14"/>
  <c r="BY41" i="14"/>
  <c r="BV41" i="14"/>
  <c r="BS41" i="14"/>
  <c r="BP41" i="14"/>
  <c r="BM41" i="14"/>
  <c r="BJ41" i="14"/>
  <c r="BG41" i="14"/>
  <c r="BD41" i="14"/>
  <c r="BA41" i="14"/>
  <c r="AX41" i="14"/>
  <c r="AU41" i="14"/>
  <c r="AR41" i="14"/>
  <c r="AO41" i="14"/>
  <c r="AL41" i="14"/>
  <c r="AI41" i="14"/>
  <c r="AF41" i="14"/>
  <c r="AC41" i="14"/>
  <c r="Z41" i="14"/>
  <c r="W41" i="14"/>
  <c r="T41" i="14"/>
  <c r="Q41" i="14"/>
  <c r="N41" i="14"/>
  <c r="K41" i="14"/>
  <c r="H41" i="14"/>
  <c r="CC40" i="14"/>
  <c r="CB40" i="14"/>
  <c r="BY40" i="14"/>
  <c r="BV40" i="14"/>
  <c r="BS40" i="14"/>
  <c r="BP40" i="14"/>
  <c r="BM40" i="14"/>
  <c r="BJ40" i="14"/>
  <c r="BG40" i="14"/>
  <c r="BD40" i="14"/>
  <c r="BA40" i="14"/>
  <c r="AX40" i="14"/>
  <c r="AU40" i="14"/>
  <c r="AR40" i="14"/>
  <c r="AO40" i="14"/>
  <c r="AL40" i="14"/>
  <c r="AI40" i="14"/>
  <c r="AF40" i="14"/>
  <c r="AC40" i="14"/>
  <c r="Z40" i="14"/>
  <c r="W40" i="14"/>
  <c r="T40" i="14"/>
  <c r="Q40" i="14"/>
  <c r="N40" i="14"/>
  <c r="K40" i="14"/>
  <c r="H40" i="14"/>
  <c r="CC39" i="14"/>
  <c r="CB39" i="14"/>
  <c r="BY39" i="14"/>
  <c r="BV39" i="14"/>
  <c r="BS39" i="14"/>
  <c r="BP39" i="14"/>
  <c r="BM39" i="14"/>
  <c r="BJ39" i="14"/>
  <c r="BG39" i="14"/>
  <c r="BD39" i="14"/>
  <c r="BA39" i="14"/>
  <c r="AX39" i="14"/>
  <c r="AU39" i="14"/>
  <c r="AR39" i="14"/>
  <c r="AO39" i="14"/>
  <c r="AL39" i="14"/>
  <c r="AI39" i="14"/>
  <c r="AF39" i="14"/>
  <c r="AC39" i="14"/>
  <c r="Z39" i="14"/>
  <c r="W39" i="14"/>
  <c r="T39" i="14"/>
  <c r="Q39" i="14"/>
  <c r="N39" i="14"/>
  <c r="K39" i="14"/>
  <c r="H39" i="14"/>
  <c r="CC38" i="14"/>
  <c r="CB38" i="14"/>
  <c r="BY38" i="14"/>
  <c r="BV38" i="14"/>
  <c r="BS38" i="14"/>
  <c r="BP38" i="14"/>
  <c r="BM38" i="14"/>
  <c r="BJ38" i="14"/>
  <c r="BG38" i="14"/>
  <c r="BD38" i="14"/>
  <c r="BA38" i="14"/>
  <c r="AX38" i="14"/>
  <c r="AU38" i="14"/>
  <c r="AR38" i="14"/>
  <c r="AO38" i="14"/>
  <c r="AL38" i="14"/>
  <c r="AI38" i="14"/>
  <c r="AF38" i="14"/>
  <c r="AC38" i="14"/>
  <c r="Z38" i="14"/>
  <c r="W38" i="14"/>
  <c r="T38" i="14"/>
  <c r="Q38" i="14"/>
  <c r="N38" i="14"/>
  <c r="K38" i="14"/>
  <c r="H38" i="14"/>
  <c r="CC37" i="14"/>
  <c r="CB37" i="14"/>
  <c r="BY37" i="14"/>
  <c r="BV37" i="14"/>
  <c r="BS37" i="14"/>
  <c r="BP37" i="14"/>
  <c r="BM37" i="14"/>
  <c r="BJ37" i="14"/>
  <c r="BG37" i="14"/>
  <c r="BD37" i="14"/>
  <c r="BA37" i="14"/>
  <c r="AX37" i="14"/>
  <c r="AU37" i="14"/>
  <c r="AR37" i="14"/>
  <c r="AO37" i="14"/>
  <c r="AL37" i="14"/>
  <c r="AI37" i="14"/>
  <c r="AF37" i="14"/>
  <c r="AC37" i="14"/>
  <c r="Z37" i="14"/>
  <c r="W37" i="14"/>
  <c r="T37" i="14"/>
  <c r="Q37" i="14"/>
  <c r="N37" i="14"/>
  <c r="K37" i="14"/>
  <c r="H37" i="14"/>
  <c r="CC36" i="14"/>
  <c r="CB36" i="14"/>
  <c r="BY36" i="14"/>
  <c r="BV36" i="14"/>
  <c r="BS36" i="14"/>
  <c r="BP36" i="14"/>
  <c r="BM36" i="14"/>
  <c r="BJ36" i="14"/>
  <c r="BG36" i="14"/>
  <c r="BD36" i="14"/>
  <c r="BA36" i="14"/>
  <c r="AX36" i="14"/>
  <c r="AU36" i="14"/>
  <c r="AR36" i="14"/>
  <c r="AO36" i="14"/>
  <c r="AL36" i="14"/>
  <c r="AI36" i="14"/>
  <c r="AF36" i="14"/>
  <c r="AC36" i="14"/>
  <c r="Z36" i="14"/>
  <c r="W36" i="14"/>
  <c r="T36" i="14"/>
  <c r="Q36" i="14"/>
  <c r="N36" i="14"/>
  <c r="K36" i="14"/>
  <c r="H36" i="14"/>
  <c r="CC35" i="14"/>
  <c r="CB35" i="14"/>
  <c r="BY35" i="14"/>
  <c r="BV35" i="14"/>
  <c r="BS35" i="14"/>
  <c r="BP35" i="14"/>
  <c r="BM35" i="14"/>
  <c r="BJ35" i="14"/>
  <c r="BG35" i="14"/>
  <c r="BD35" i="14"/>
  <c r="BA35" i="14"/>
  <c r="AX35" i="14"/>
  <c r="AU35" i="14"/>
  <c r="AR35" i="14"/>
  <c r="AO35" i="14"/>
  <c r="AL35" i="14"/>
  <c r="AI35" i="14"/>
  <c r="AF35" i="14"/>
  <c r="AC35" i="14"/>
  <c r="Z35" i="14"/>
  <c r="W35" i="14"/>
  <c r="T35" i="14"/>
  <c r="Q35" i="14"/>
  <c r="N35" i="14"/>
  <c r="K35" i="14"/>
  <c r="H35" i="14"/>
  <c r="CC34" i="14"/>
  <c r="CB34" i="14"/>
  <c r="BY34" i="14"/>
  <c r="BV34" i="14"/>
  <c r="BS34" i="14"/>
  <c r="BP34" i="14"/>
  <c r="BM34" i="14"/>
  <c r="BJ34" i="14"/>
  <c r="BG34" i="14"/>
  <c r="BD34" i="14"/>
  <c r="BA34" i="14"/>
  <c r="AX34" i="14"/>
  <c r="AU34" i="14"/>
  <c r="AR34" i="14"/>
  <c r="AO34" i="14"/>
  <c r="AL34" i="14"/>
  <c r="AI34" i="14"/>
  <c r="AF34" i="14"/>
  <c r="AC34" i="14"/>
  <c r="Z34" i="14"/>
  <c r="W34" i="14"/>
  <c r="T34" i="14"/>
  <c r="Q34" i="14"/>
  <c r="N34" i="14"/>
  <c r="K34" i="14"/>
  <c r="H34" i="14"/>
  <c r="CC33" i="14"/>
  <c r="CB33" i="14"/>
  <c r="BY33" i="14"/>
  <c r="BV33" i="14"/>
  <c r="BS33" i="14"/>
  <c r="BP33" i="14"/>
  <c r="BM33" i="14"/>
  <c r="BJ33" i="14"/>
  <c r="BG33" i="14"/>
  <c r="BD33" i="14"/>
  <c r="BA33" i="14"/>
  <c r="AX33" i="14"/>
  <c r="AU33" i="14"/>
  <c r="AR33" i="14"/>
  <c r="AO33" i="14"/>
  <c r="AL33" i="14"/>
  <c r="AI33" i="14"/>
  <c r="AF33" i="14"/>
  <c r="AC33" i="14"/>
  <c r="Z33" i="14"/>
  <c r="W33" i="14"/>
  <c r="T33" i="14"/>
  <c r="Q33" i="14"/>
  <c r="N33" i="14"/>
  <c r="K33" i="14"/>
  <c r="H33" i="14"/>
  <c r="CC32" i="14"/>
  <c r="CB32" i="14"/>
  <c r="BY32" i="14"/>
  <c r="BV32" i="14"/>
  <c r="BS32" i="14"/>
  <c r="BP32" i="14"/>
  <c r="BM32" i="14"/>
  <c r="BJ32" i="14"/>
  <c r="BG32" i="14"/>
  <c r="BD32" i="14"/>
  <c r="BA32" i="14"/>
  <c r="AX32" i="14"/>
  <c r="AU32" i="14"/>
  <c r="AR32" i="14"/>
  <c r="AO32" i="14"/>
  <c r="AL32" i="14"/>
  <c r="AI32" i="14"/>
  <c r="AF32" i="14"/>
  <c r="AC32" i="14"/>
  <c r="Z32" i="14"/>
  <c r="W32" i="14"/>
  <c r="T32" i="14"/>
  <c r="Q32" i="14"/>
  <c r="N32" i="14"/>
  <c r="K32" i="14"/>
  <c r="H32" i="14"/>
  <c r="CC31" i="14"/>
  <c r="CB31" i="14"/>
  <c r="BY31" i="14"/>
  <c r="BV31" i="14"/>
  <c r="BS31" i="14"/>
  <c r="BP31" i="14"/>
  <c r="BM31" i="14"/>
  <c r="BJ31" i="14"/>
  <c r="BG31" i="14"/>
  <c r="BD31" i="14"/>
  <c r="BA31" i="14"/>
  <c r="AX31" i="14"/>
  <c r="AU31" i="14"/>
  <c r="AR31" i="14"/>
  <c r="AO31" i="14"/>
  <c r="AL31" i="14"/>
  <c r="AI31" i="14"/>
  <c r="AF31" i="14"/>
  <c r="AC31" i="14"/>
  <c r="Z31" i="14"/>
  <c r="W31" i="14"/>
  <c r="T31" i="14"/>
  <c r="Q31" i="14"/>
  <c r="N31" i="14"/>
  <c r="K31" i="14"/>
  <c r="H31" i="14"/>
  <c r="CC30" i="14"/>
  <c r="CB30" i="14"/>
  <c r="BY30" i="14"/>
  <c r="BV30" i="14"/>
  <c r="BS30" i="14"/>
  <c r="BP30" i="14"/>
  <c r="BM30" i="14"/>
  <c r="BJ30" i="14"/>
  <c r="BG30" i="14"/>
  <c r="BD30" i="14"/>
  <c r="BA30" i="14"/>
  <c r="AX30" i="14"/>
  <c r="AU30" i="14"/>
  <c r="AR30" i="14"/>
  <c r="AO30" i="14"/>
  <c r="AL30" i="14"/>
  <c r="AI30" i="14"/>
  <c r="AF30" i="14"/>
  <c r="AC30" i="14"/>
  <c r="Z30" i="14"/>
  <c r="W30" i="14"/>
  <c r="T30" i="14"/>
  <c r="Q30" i="14"/>
  <c r="N30" i="14"/>
  <c r="K30" i="14"/>
  <c r="H30" i="14"/>
  <c r="CC29" i="14"/>
  <c r="CB29" i="14"/>
  <c r="BY29" i="14"/>
  <c r="BV29" i="14"/>
  <c r="BS29" i="14"/>
  <c r="BP29" i="14"/>
  <c r="BM29" i="14"/>
  <c r="BJ29" i="14"/>
  <c r="BG29" i="14"/>
  <c r="BD29" i="14"/>
  <c r="BA29" i="14"/>
  <c r="AX29" i="14"/>
  <c r="AU29" i="14"/>
  <c r="AR29" i="14"/>
  <c r="AO29" i="14"/>
  <c r="AL29" i="14"/>
  <c r="AI29" i="14"/>
  <c r="AF29" i="14"/>
  <c r="AC29" i="14"/>
  <c r="Z29" i="14"/>
  <c r="W29" i="14"/>
  <c r="T29" i="14"/>
  <c r="Q29" i="14"/>
  <c r="N29" i="14"/>
  <c r="K29" i="14"/>
  <c r="H29" i="14"/>
  <c r="CC28" i="14"/>
  <c r="CB28" i="14"/>
  <c r="BY28" i="14"/>
  <c r="BV28" i="14"/>
  <c r="BS28" i="14"/>
  <c r="BP28" i="14"/>
  <c r="BP44" i="14" s="1"/>
  <c r="BM28" i="14"/>
  <c r="BJ28" i="14"/>
  <c r="BG28" i="14"/>
  <c r="BD28" i="14"/>
  <c r="BA28" i="14"/>
  <c r="AX28" i="14"/>
  <c r="AX44" i="14" s="1"/>
  <c r="AU28" i="14"/>
  <c r="AR28" i="14"/>
  <c r="AO28" i="14"/>
  <c r="AL28" i="14"/>
  <c r="AI28" i="14"/>
  <c r="AF28" i="14"/>
  <c r="AF44" i="14" s="1"/>
  <c r="AC28" i="14"/>
  <c r="Z28" i="14"/>
  <c r="W28" i="14"/>
  <c r="T28" i="14"/>
  <c r="Q28" i="14"/>
  <c r="N28" i="14"/>
  <c r="N44" i="14" s="1"/>
  <c r="K28" i="14"/>
  <c r="H28" i="14"/>
  <c r="CC27" i="14"/>
  <c r="CB27" i="14"/>
  <c r="BY27" i="14"/>
  <c r="BV27" i="14"/>
  <c r="BV43" i="14" s="1"/>
  <c r="BS27" i="14"/>
  <c r="BP27" i="14"/>
  <c r="BM27" i="14"/>
  <c r="BJ27" i="14"/>
  <c r="BG27" i="14"/>
  <c r="BD27" i="14"/>
  <c r="BD43" i="14" s="1"/>
  <c r="BA27" i="14"/>
  <c r="AX27" i="14"/>
  <c r="AU27" i="14"/>
  <c r="AR27" i="14"/>
  <c r="AO27" i="14"/>
  <c r="AL27" i="14"/>
  <c r="AL43" i="14" s="1"/>
  <c r="AI27" i="14"/>
  <c r="AF27" i="14"/>
  <c r="AC27" i="14"/>
  <c r="Z27" i="14"/>
  <c r="W27" i="14"/>
  <c r="T27" i="14"/>
  <c r="T43" i="14" s="1"/>
  <c r="Q27" i="14"/>
  <c r="N27" i="14"/>
  <c r="K27" i="14"/>
  <c r="H27" i="14"/>
  <c r="BL21" i="14"/>
  <c r="AG21" i="14"/>
  <c r="CA15" i="14"/>
  <c r="BX15" i="14"/>
  <c r="BX14" i="14" s="1"/>
  <c r="BX57" i="14" s="1"/>
  <c r="BW15" i="14"/>
  <c r="BU15" i="14"/>
  <c r="BT15" i="14"/>
  <c r="BS15" i="14" s="1"/>
  <c r="BR15" i="14"/>
  <c r="BO15" i="14"/>
  <c r="BN15" i="14"/>
  <c r="BL15" i="14"/>
  <c r="BK15" i="14"/>
  <c r="BF15" i="14"/>
  <c r="BF14" i="14" s="1"/>
  <c r="BF57" i="14" s="1"/>
  <c r="BE15" i="14"/>
  <c r="BE14" i="14" s="1"/>
  <c r="BD57" i="14" s="1"/>
  <c r="BC15" i="14"/>
  <c r="BB15" i="14"/>
  <c r="BB14" i="14" s="1"/>
  <c r="BA57" i="14" s="1"/>
  <c r="AV15" i="14"/>
  <c r="AV14" i="14" s="1"/>
  <c r="AU57" i="14" s="1"/>
  <c r="AS15" i="14"/>
  <c r="AS14" i="14" s="1"/>
  <c r="AN15" i="14"/>
  <c r="AM15" i="14"/>
  <c r="AM14" i="14" s="1"/>
  <c r="AK15" i="14"/>
  <c r="AK14" i="14" s="1"/>
  <c r="AK57" i="14" s="1"/>
  <c r="AJ15" i="14"/>
  <c r="AE15" i="14"/>
  <c r="AD15" i="14"/>
  <c r="AD14" i="14" s="1"/>
  <c r="AC57" i="14" s="1"/>
  <c r="AB15" i="14"/>
  <c r="AB14" i="14" s="1"/>
  <c r="AB57" i="14" s="1"/>
  <c r="AA15" i="14"/>
  <c r="X15" i="14"/>
  <c r="V15" i="14"/>
  <c r="U15" i="14"/>
  <c r="S15" i="14"/>
  <c r="R15" i="14"/>
  <c r="R14" i="14" s="1"/>
  <c r="Q57" i="14" s="1"/>
  <c r="O15" i="14"/>
  <c r="O14" i="14" s="1"/>
  <c r="L15" i="14"/>
  <c r="J15" i="14"/>
  <c r="I15" i="14"/>
  <c r="I14" i="14" s="1"/>
  <c r="CA14" i="14"/>
  <c r="CA57" i="14" s="1"/>
  <c r="BU14" i="14"/>
  <c r="BU57" i="14" s="1"/>
  <c r="BR14" i="14"/>
  <c r="BR57" i="14" s="1"/>
  <c r="BQ14" i="14"/>
  <c r="BL14" i="14"/>
  <c r="BL57" i="14" s="1"/>
  <c r="BK14" i="14"/>
  <c r="BH14" i="14"/>
  <c r="BG57" i="14" s="1"/>
  <c r="BC14" i="14"/>
  <c r="BC57" i="14" s="1"/>
  <c r="AN14" i="14"/>
  <c r="AN57" i="14" s="1"/>
  <c r="AJ14" i="14"/>
  <c r="AI57" i="14" s="1"/>
  <c r="AE14" i="14"/>
  <c r="AE57" i="14" s="1"/>
  <c r="AA14" i="14"/>
  <c r="X14" i="14"/>
  <c r="W57" i="14" s="1"/>
  <c r="V14" i="14"/>
  <c r="V57" i="14" s="1"/>
  <c r="U14" i="14"/>
  <c r="T57" i="14" s="1"/>
  <c r="L14" i="14"/>
  <c r="K57" i="14" s="1"/>
  <c r="J14" i="14"/>
  <c r="J57" i="14" s="1"/>
  <c r="BZ9" i="14"/>
  <c r="BW9" i="14"/>
  <c r="BU9" i="14"/>
  <c r="BU21" i="14" s="1"/>
  <c r="BQ9" i="14"/>
  <c r="BQ8" i="14" s="1"/>
  <c r="BO9" i="14"/>
  <c r="BN9" i="14"/>
  <c r="BL9" i="14"/>
  <c r="BH9" i="14"/>
  <c r="BE9" i="14"/>
  <c r="BC9" i="14"/>
  <c r="BB9" i="14"/>
  <c r="BB8" i="14" s="1"/>
  <c r="AY9" i="14"/>
  <c r="AW9" i="14"/>
  <c r="AW8" i="14" s="1"/>
  <c r="AW52" i="14" s="1"/>
  <c r="AV9" i="14"/>
  <c r="AV8" i="14" s="1"/>
  <c r="AT9" i="14"/>
  <c r="AT21" i="14" s="1"/>
  <c r="AS9" i="14"/>
  <c r="AS21" i="14" s="1"/>
  <c r="AP9" i="14"/>
  <c r="AO9" i="14"/>
  <c r="AM9" i="14"/>
  <c r="AK9" i="14"/>
  <c r="AJ9" i="14"/>
  <c r="AI9" i="14" s="1"/>
  <c r="AG9" i="14"/>
  <c r="AE9" i="14"/>
  <c r="AE21" i="14" s="1"/>
  <c r="AD9" i="14"/>
  <c r="AD8" i="14" s="1"/>
  <c r="AB9" i="14"/>
  <c r="AA9" i="14"/>
  <c r="AA21" i="14" s="1"/>
  <c r="X9" i="14"/>
  <c r="U9" i="14"/>
  <c r="S9" i="14"/>
  <c r="Q9" i="14" s="1"/>
  <c r="R9" i="14"/>
  <c r="R8" i="14" s="1"/>
  <c r="Q52" i="14" s="1"/>
  <c r="Q59" i="14" s="1"/>
  <c r="O9" i="14"/>
  <c r="M9" i="14"/>
  <c r="L9" i="14"/>
  <c r="J9" i="14"/>
  <c r="J21" i="14" s="1"/>
  <c r="I9" i="14"/>
  <c r="BW8" i="14"/>
  <c r="BU8" i="14"/>
  <c r="BU52" i="14" s="1"/>
  <c r="BR8" i="14"/>
  <c r="BR52" i="14" s="1"/>
  <c r="BR59" i="14" s="1"/>
  <c r="BN8" i="14"/>
  <c r="BL8" i="14"/>
  <c r="BL52" i="14" s="1"/>
  <c r="BL59" i="14" s="1"/>
  <c r="BC8" i="14"/>
  <c r="BC52" i="14" s="1"/>
  <c r="BC59" i="14" s="1"/>
  <c r="AY8" i="14"/>
  <c r="AT8" i="14"/>
  <c r="AT52" i="14" s="1"/>
  <c r="AP8" i="14"/>
  <c r="AK8" i="14"/>
  <c r="AK52" i="14" s="1"/>
  <c r="AG8" i="14"/>
  <c r="AF52" i="14" s="1"/>
  <c r="AB8" i="14"/>
  <c r="AB52" i="14" s="1"/>
  <c r="Y8" i="14"/>
  <c r="Y52" i="14" s="1"/>
  <c r="O8" i="14"/>
  <c r="N52" i="14" s="1"/>
  <c r="M8" i="14"/>
  <c r="M52" i="14" s="1"/>
  <c r="I8" i="14"/>
  <c r="H52" i="14" s="1"/>
  <c r="CB48" i="13"/>
  <c r="CA48" i="13"/>
  <c r="CC48" i="13"/>
  <c r="BX48" i="13"/>
  <c r="BV48" i="13" s="1"/>
  <c r="BU48" i="13"/>
  <c r="BS48" i="13"/>
  <c r="BR48" i="13"/>
  <c r="BP48" i="13"/>
  <c r="BO48" i="13"/>
  <c r="BO40" i="13"/>
  <c r="BL48" i="13"/>
  <c r="BL40" i="13" s="1"/>
  <c r="BJ48" i="13"/>
  <c r="BI48" i="13"/>
  <c r="BG48" i="13"/>
  <c r="BF48" i="13"/>
  <c r="BD48" i="13"/>
  <c r="BC48" i="13"/>
  <c r="BA48" i="13"/>
  <c r="AZ48" i="13"/>
  <c r="AX48" i="13"/>
  <c r="AW48" i="13"/>
  <c r="AW40" i="13"/>
  <c r="AT48" i="13"/>
  <c r="AT40" i="13" s="1"/>
  <c r="AR48" i="13"/>
  <c r="AQ48" i="13"/>
  <c r="AO48" i="13"/>
  <c r="AN48" i="13"/>
  <c r="AL48" i="13"/>
  <c r="AK48" i="13"/>
  <c r="AK40" i="13" s="1"/>
  <c r="AI48" i="13"/>
  <c r="AI40" i="13" s="1"/>
  <c r="AH48" i="13"/>
  <c r="AF48" i="13"/>
  <c r="AE48" i="13"/>
  <c r="AE40" i="13"/>
  <c r="AB48" i="13"/>
  <c r="AB40" i="13" s="1"/>
  <c r="Z48" i="13"/>
  <c r="Y48" i="13"/>
  <c r="W48" i="13"/>
  <c r="V48" i="13"/>
  <c r="T48" i="13"/>
  <c r="S48" i="13"/>
  <c r="Q48" i="13"/>
  <c r="P48" i="13"/>
  <c r="N48" i="13"/>
  <c r="M48" i="13"/>
  <c r="M40" i="13"/>
  <c r="J48" i="13"/>
  <c r="H48" i="13"/>
  <c r="CC47" i="13"/>
  <c r="CB47" i="13"/>
  <c r="BY47" i="13"/>
  <c r="BV47" i="13"/>
  <c r="BS47" i="13"/>
  <c r="BP47" i="13"/>
  <c r="BM47" i="13"/>
  <c r="BJ47" i="13"/>
  <c r="BG47" i="13"/>
  <c r="BD47" i="13"/>
  <c r="BA47" i="13"/>
  <c r="AX47" i="13"/>
  <c r="AU47" i="13"/>
  <c r="AR47" i="13"/>
  <c r="AO47" i="13"/>
  <c r="AL47" i="13"/>
  <c r="AI47" i="13"/>
  <c r="AF47" i="13"/>
  <c r="AC47" i="13"/>
  <c r="Z47" i="13"/>
  <c r="W47" i="13"/>
  <c r="T47" i="13"/>
  <c r="Q47" i="13"/>
  <c r="N47" i="13"/>
  <c r="K47" i="13"/>
  <c r="H47" i="13"/>
  <c r="CC46" i="13"/>
  <c r="CB46" i="13"/>
  <c r="BY46" i="13"/>
  <c r="BV46" i="13"/>
  <c r="BS46" i="13"/>
  <c r="BP46" i="13"/>
  <c r="BM46" i="13"/>
  <c r="BJ46" i="13"/>
  <c r="BG46" i="13"/>
  <c r="BD46" i="13"/>
  <c r="BA46" i="13"/>
  <c r="AX46" i="13"/>
  <c r="AU46" i="13"/>
  <c r="AR46" i="13"/>
  <c r="AO46" i="13"/>
  <c r="AL46" i="13"/>
  <c r="AI46" i="13"/>
  <c r="AF46" i="13"/>
  <c r="AC46" i="13"/>
  <c r="Z46" i="13"/>
  <c r="W46" i="13"/>
  <c r="T46" i="13"/>
  <c r="Q46" i="13"/>
  <c r="N46" i="13"/>
  <c r="K46" i="13"/>
  <c r="H46" i="13"/>
  <c r="CC45" i="13"/>
  <c r="CB45" i="13"/>
  <c r="BY45" i="13"/>
  <c r="BV45" i="13"/>
  <c r="BS45" i="13"/>
  <c r="BP45" i="13"/>
  <c r="BM45" i="13"/>
  <c r="BJ45" i="13"/>
  <c r="BG45" i="13"/>
  <c r="BG40" i="13" s="1"/>
  <c r="BD45" i="13"/>
  <c r="BA45" i="13"/>
  <c r="AX45" i="13"/>
  <c r="AU45" i="13"/>
  <c r="AR45" i="13"/>
  <c r="AO45" i="13"/>
  <c r="AL45" i="13"/>
  <c r="AI45" i="13"/>
  <c r="AF45" i="13"/>
  <c r="AF40" i="13"/>
  <c r="AC45" i="13"/>
  <c r="Z45" i="13"/>
  <c r="W45" i="13"/>
  <c r="T45" i="13"/>
  <c r="Q45" i="13"/>
  <c r="Q40" i="13"/>
  <c r="N45" i="13"/>
  <c r="K45" i="13"/>
  <c r="H45" i="13"/>
  <c r="CC44" i="13"/>
  <c r="CB44" i="13"/>
  <c r="BY44" i="13"/>
  <c r="BV44" i="13"/>
  <c r="BV40" i="13" s="1"/>
  <c r="BS44" i="13"/>
  <c r="BS40" i="13" s="1"/>
  <c r="BP44" i="13"/>
  <c r="BM44" i="13"/>
  <c r="BJ44" i="13"/>
  <c r="BG44" i="13"/>
  <c r="BD44" i="13"/>
  <c r="BD40" i="13" s="1"/>
  <c r="BA44" i="13"/>
  <c r="BA40" i="13" s="1"/>
  <c r="AX44" i="13"/>
  <c r="AU44" i="13"/>
  <c r="AR44" i="13"/>
  <c r="AO44" i="13"/>
  <c r="AO40" i="13" s="1"/>
  <c r="AL44" i="13"/>
  <c r="AL40" i="13" s="1"/>
  <c r="AI44" i="13"/>
  <c r="AF44" i="13"/>
  <c r="AC44" i="13"/>
  <c r="Z44" i="13"/>
  <c r="W44" i="13"/>
  <c r="W40" i="13"/>
  <c r="T44" i="13"/>
  <c r="Q44" i="13"/>
  <c r="N44" i="13"/>
  <c r="K44" i="13"/>
  <c r="H44" i="13"/>
  <c r="H40" i="13"/>
  <c r="CC43" i="13"/>
  <c r="CB43" i="13"/>
  <c r="BY43" i="13"/>
  <c r="BV43" i="13"/>
  <c r="BS43" i="13"/>
  <c r="BP43" i="13"/>
  <c r="BM43" i="13"/>
  <c r="BJ43" i="13"/>
  <c r="BG43" i="13"/>
  <c r="BD43" i="13"/>
  <c r="BA43" i="13"/>
  <c r="AX43" i="13"/>
  <c r="AU43" i="13"/>
  <c r="AR43" i="13"/>
  <c r="AO43" i="13"/>
  <c r="AL43" i="13"/>
  <c r="AI43" i="13"/>
  <c r="AF43" i="13"/>
  <c r="AC43" i="13"/>
  <c r="Z43" i="13"/>
  <c r="W43" i="13"/>
  <c r="T43" i="13"/>
  <c r="Q43" i="13"/>
  <c r="N43" i="13"/>
  <c r="K43" i="13"/>
  <c r="H43" i="13"/>
  <c r="CC42" i="13"/>
  <c r="CB42" i="13"/>
  <c r="BY42" i="13"/>
  <c r="BV42" i="13"/>
  <c r="BS42" i="13"/>
  <c r="BP42" i="13"/>
  <c r="BM42" i="13"/>
  <c r="BJ42" i="13"/>
  <c r="BG42" i="13"/>
  <c r="BD42" i="13"/>
  <c r="BA42" i="13"/>
  <c r="AX42" i="13"/>
  <c r="AU42" i="13"/>
  <c r="AR42" i="13"/>
  <c r="AO42" i="13"/>
  <c r="AL42" i="13"/>
  <c r="AI42" i="13"/>
  <c r="AF42" i="13"/>
  <c r="AC42" i="13"/>
  <c r="Z42" i="13"/>
  <c r="W42" i="13"/>
  <c r="T42" i="13"/>
  <c r="Q42" i="13"/>
  <c r="N42" i="13"/>
  <c r="K42" i="13"/>
  <c r="H42" i="13"/>
  <c r="CC41" i="13"/>
  <c r="CB41" i="13"/>
  <c r="BY41" i="13"/>
  <c r="BV41" i="13"/>
  <c r="BS41" i="13"/>
  <c r="BP41" i="13"/>
  <c r="BM41" i="13"/>
  <c r="BJ41" i="13"/>
  <c r="BG41" i="13"/>
  <c r="BD41" i="13"/>
  <c r="BA41" i="13"/>
  <c r="AX41" i="13"/>
  <c r="AU41" i="13"/>
  <c r="AR41" i="13"/>
  <c r="AO41" i="13"/>
  <c r="AL41" i="13"/>
  <c r="AI41" i="13"/>
  <c r="AF41" i="13"/>
  <c r="AC41" i="13"/>
  <c r="Z41" i="13"/>
  <c r="W41" i="13"/>
  <c r="T41" i="13"/>
  <c r="Q41" i="13"/>
  <c r="N41" i="13"/>
  <c r="K41" i="13"/>
  <c r="H41" i="13"/>
  <c r="BZ40" i="13"/>
  <c r="BX40" i="13"/>
  <c r="BW40" i="13"/>
  <c r="BW15" i="13" s="1"/>
  <c r="BU40" i="13"/>
  <c r="BU15" i="13" s="1"/>
  <c r="BT40" i="13"/>
  <c r="BR40" i="13"/>
  <c r="BQ40" i="13"/>
  <c r="BQ15" i="13"/>
  <c r="BN40" i="13"/>
  <c r="BN15" i="13" s="1"/>
  <c r="BK40" i="13"/>
  <c r="BK15" i="13"/>
  <c r="BI40" i="13"/>
  <c r="BH40" i="13"/>
  <c r="BF40" i="13"/>
  <c r="BE40" i="13"/>
  <c r="BE15" i="13"/>
  <c r="BC40" i="13"/>
  <c r="BB40" i="13"/>
  <c r="AZ40" i="13"/>
  <c r="AY40" i="13"/>
  <c r="AY15" i="13"/>
  <c r="AX40" i="13"/>
  <c r="AV40" i="13"/>
  <c r="AV15" i="13" s="1"/>
  <c r="AS40" i="13"/>
  <c r="AS15" i="13" s="1"/>
  <c r="AR15" i="13" s="1"/>
  <c r="AQ40" i="13"/>
  <c r="AP40" i="13"/>
  <c r="AP15" i="13" s="1"/>
  <c r="AP26" i="13" s="1"/>
  <c r="AM40" i="13"/>
  <c r="AM15" i="13"/>
  <c r="AJ40" i="13"/>
  <c r="AJ15" i="13" s="1"/>
  <c r="AH40" i="13"/>
  <c r="AG40" i="13"/>
  <c r="AD40" i="13"/>
  <c r="AD15" i="13" s="1"/>
  <c r="AA40" i="13"/>
  <c r="Z40" i="13"/>
  <c r="Y40" i="13"/>
  <c r="X40" i="13"/>
  <c r="V40" i="13"/>
  <c r="U40" i="13"/>
  <c r="U15" i="13" s="1"/>
  <c r="S40" i="13"/>
  <c r="S15" i="13" s="1"/>
  <c r="R40" i="13"/>
  <c r="R15" i="13" s="1"/>
  <c r="Q15" i="13" s="1"/>
  <c r="P40" i="13"/>
  <c r="O40" i="13"/>
  <c r="O15" i="13" s="1"/>
  <c r="L40" i="13"/>
  <c r="J40" i="13"/>
  <c r="I40" i="13"/>
  <c r="CC39" i="13"/>
  <c r="CB39" i="13"/>
  <c r="BY39" i="13"/>
  <c r="BV39" i="13"/>
  <c r="BS39" i="13"/>
  <c r="BP39" i="13"/>
  <c r="BM39" i="13"/>
  <c r="BJ39" i="13"/>
  <c r="BG39" i="13"/>
  <c r="BD39" i="13"/>
  <c r="BA39" i="13"/>
  <c r="AX39" i="13"/>
  <c r="AU39" i="13"/>
  <c r="AR39" i="13"/>
  <c r="AO39" i="13"/>
  <c r="AL39" i="13"/>
  <c r="AI39" i="13"/>
  <c r="AF39" i="13"/>
  <c r="AC39" i="13"/>
  <c r="Z39" i="13"/>
  <c r="W39" i="13"/>
  <c r="T39" i="13"/>
  <c r="Q39" i="13"/>
  <c r="N39" i="13"/>
  <c r="K39" i="13"/>
  <c r="H39" i="13"/>
  <c r="CC38" i="13"/>
  <c r="CB38" i="13"/>
  <c r="BY38" i="13"/>
  <c r="BV38" i="13"/>
  <c r="BS38" i="13"/>
  <c r="BS31" i="13" s="1"/>
  <c r="BP38" i="13"/>
  <c r="BM38" i="13"/>
  <c r="BJ38" i="13"/>
  <c r="BG38" i="13"/>
  <c r="BD38" i="13"/>
  <c r="BA38" i="13"/>
  <c r="AX38" i="13"/>
  <c r="AU38" i="13"/>
  <c r="AR38" i="13"/>
  <c r="AO38" i="13"/>
  <c r="AL38" i="13"/>
  <c r="AI38" i="13"/>
  <c r="AF38" i="13"/>
  <c r="AC38" i="13"/>
  <c r="Z38" i="13"/>
  <c r="W38" i="13"/>
  <c r="T38" i="13"/>
  <c r="Q38" i="13"/>
  <c r="N38" i="13"/>
  <c r="K38" i="13"/>
  <c r="H38" i="13"/>
  <c r="CC37" i="13"/>
  <c r="CB37" i="13"/>
  <c r="BY37" i="13"/>
  <c r="BV37" i="13"/>
  <c r="BS37" i="13"/>
  <c r="BP37" i="13"/>
  <c r="BM37" i="13"/>
  <c r="BJ37" i="13"/>
  <c r="BG37" i="13"/>
  <c r="BD37" i="13"/>
  <c r="BA37" i="13"/>
  <c r="AX37" i="13"/>
  <c r="AU37" i="13"/>
  <c r="AR37" i="13"/>
  <c r="AO37" i="13"/>
  <c r="AL37" i="13"/>
  <c r="AI37" i="13"/>
  <c r="AF37" i="13"/>
  <c r="AC37" i="13"/>
  <c r="Z37" i="13"/>
  <c r="W37" i="13"/>
  <c r="W31" i="13" s="1"/>
  <c r="T37" i="13"/>
  <c r="T31" i="13" s="1"/>
  <c r="Q37" i="13"/>
  <c r="N37" i="13"/>
  <c r="K37" i="13"/>
  <c r="H37" i="13"/>
  <c r="H31" i="13" s="1"/>
  <c r="CC36" i="13"/>
  <c r="CB36" i="13"/>
  <c r="BY36" i="13"/>
  <c r="BV36" i="13"/>
  <c r="BS36" i="13"/>
  <c r="BP36" i="13"/>
  <c r="BM36" i="13"/>
  <c r="BM31" i="13" s="1"/>
  <c r="BJ36" i="13"/>
  <c r="BG36" i="13"/>
  <c r="BD36" i="13"/>
  <c r="BA36" i="13"/>
  <c r="AX36" i="13"/>
  <c r="AX31" i="13" s="1"/>
  <c r="AU36" i="13"/>
  <c r="AR36" i="13"/>
  <c r="AO36" i="13"/>
  <c r="AL36" i="13"/>
  <c r="AI36" i="13"/>
  <c r="AF36" i="13"/>
  <c r="AC36" i="13"/>
  <c r="Z36" i="13"/>
  <c r="W36" i="13"/>
  <c r="T36" i="13"/>
  <c r="Q36" i="13"/>
  <c r="N36" i="13"/>
  <c r="K36" i="13"/>
  <c r="K31" i="13" s="1"/>
  <c r="H36" i="13"/>
  <c r="CC35" i="13"/>
  <c r="CB35" i="13"/>
  <c r="BY35" i="13"/>
  <c r="BY31" i="13"/>
  <c r="BV35" i="13"/>
  <c r="BV31" i="13" s="1"/>
  <c r="BS35" i="13"/>
  <c r="BP35" i="13"/>
  <c r="BM35" i="13"/>
  <c r="BJ35" i="13"/>
  <c r="BJ31" i="13"/>
  <c r="BG35" i="13"/>
  <c r="BG31" i="13" s="1"/>
  <c r="BD35" i="13"/>
  <c r="BA35" i="13"/>
  <c r="AX35" i="13"/>
  <c r="AU35" i="13"/>
  <c r="AR35" i="13"/>
  <c r="AR31" i="13" s="1"/>
  <c r="AO35" i="13"/>
  <c r="AO31" i="13" s="1"/>
  <c r="AL35" i="13"/>
  <c r="AI35" i="13"/>
  <c r="AF35" i="13"/>
  <c r="AC35" i="13"/>
  <c r="Z35" i="13"/>
  <c r="Z31" i="13" s="1"/>
  <c r="W35" i="13"/>
  <c r="T35" i="13"/>
  <c r="Q35" i="13"/>
  <c r="N35" i="13"/>
  <c r="K35" i="13"/>
  <c r="H35" i="13"/>
  <c r="CC34" i="13"/>
  <c r="CB34" i="13"/>
  <c r="BY34" i="13"/>
  <c r="BV34" i="13"/>
  <c r="BS34" i="13"/>
  <c r="BP34" i="13"/>
  <c r="BM34" i="13"/>
  <c r="BJ34" i="13"/>
  <c r="BG34" i="13"/>
  <c r="BD34" i="13"/>
  <c r="BA34" i="13"/>
  <c r="AX34" i="13"/>
  <c r="AU34" i="13"/>
  <c r="AR34" i="13"/>
  <c r="AO34" i="13"/>
  <c r="AL34" i="13"/>
  <c r="AI34" i="13"/>
  <c r="AF34" i="13"/>
  <c r="AC34" i="13"/>
  <c r="Z34" i="13"/>
  <c r="W34" i="13"/>
  <c r="T34" i="13"/>
  <c r="Q34" i="13"/>
  <c r="N34" i="13"/>
  <c r="K34" i="13"/>
  <c r="H34" i="13"/>
  <c r="CC33" i="13"/>
  <c r="CB33" i="13"/>
  <c r="BY33" i="13"/>
  <c r="BV33" i="13"/>
  <c r="BS33" i="13"/>
  <c r="BP33" i="13"/>
  <c r="BM33" i="13"/>
  <c r="BJ33" i="13"/>
  <c r="BG33" i="13"/>
  <c r="BD33" i="13"/>
  <c r="BA33" i="13"/>
  <c r="AX33" i="13"/>
  <c r="AU33" i="13"/>
  <c r="AR33" i="13"/>
  <c r="AO33" i="13"/>
  <c r="AL33" i="13"/>
  <c r="AI33" i="13"/>
  <c r="AF33" i="13"/>
  <c r="AC33" i="13"/>
  <c r="Z33" i="13"/>
  <c r="W33" i="13"/>
  <c r="T33" i="13"/>
  <c r="Q33" i="13"/>
  <c r="N33" i="13"/>
  <c r="K33" i="13"/>
  <c r="H33" i="13"/>
  <c r="CC32" i="13"/>
  <c r="CB32" i="13"/>
  <c r="BY32" i="13"/>
  <c r="BV32" i="13"/>
  <c r="BS32" i="13"/>
  <c r="BP32" i="13"/>
  <c r="BM32" i="13"/>
  <c r="BJ32" i="13"/>
  <c r="BG32" i="13"/>
  <c r="BD32" i="13"/>
  <c r="BA32" i="13"/>
  <c r="AX32" i="13"/>
  <c r="AU32" i="13"/>
  <c r="AR32" i="13"/>
  <c r="AO32" i="13"/>
  <c r="AL32" i="13"/>
  <c r="AI32" i="13"/>
  <c r="AF32" i="13"/>
  <c r="AC32" i="13"/>
  <c r="Z32" i="13"/>
  <c r="W32" i="13"/>
  <c r="T32" i="13"/>
  <c r="Q32" i="13"/>
  <c r="N32" i="13"/>
  <c r="K32" i="13"/>
  <c r="H32" i="13"/>
  <c r="CA31" i="13"/>
  <c r="BZ31" i="13"/>
  <c r="BX31" i="13"/>
  <c r="BW31" i="13"/>
  <c r="BU31" i="13"/>
  <c r="BT31" i="13"/>
  <c r="BR31" i="13"/>
  <c r="BQ31" i="13"/>
  <c r="BP31" i="13"/>
  <c r="BO31" i="13"/>
  <c r="BN31" i="13"/>
  <c r="BN8" i="13" s="1"/>
  <c r="BM8" i="13" s="1"/>
  <c r="BL31" i="13"/>
  <c r="BL8" i="13"/>
  <c r="BK31" i="13"/>
  <c r="BK8" i="13" s="1"/>
  <c r="BJ8" i="13" s="1"/>
  <c r="BI31" i="13"/>
  <c r="BH31" i="13"/>
  <c r="BF31" i="13"/>
  <c r="BE31" i="13"/>
  <c r="BE8" i="13"/>
  <c r="BC31" i="13"/>
  <c r="BB31" i="13"/>
  <c r="BB8" i="13" s="1"/>
  <c r="AZ31" i="13"/>
  <c r="AY31" i="13"/>
  <c r="AW31" i="13"/>
  <c r="AV31" i="13"/>
  <c r="AT31" i="13"/>
  <c r="AS31" i="13"/>
  <c r="AS8" i="13" s="1"/>
  <c r="AQ31" i="13"/>
  <c r="AQ8" i="13" s="1"/>
  <c r="AP31" i="13"/>
  <c r="AN31" i="13"/>
  <c r="AM31" i="13"/>
  <c r="AM8" i="13"/>
  <c r="AK31" i="13"/>
  <c r="AJ31" i="13"/>
  <c r="AJ8" i="13" s="1"/>
  <c r="AH31" i="13"/>
  <c r="AH8" i="13"/>
  <c r="AG31" i="13"/>
  <c r="AF31" i="13"/>
  <c r="AE31" i="13"/>
  <c r="AD31" i="13"/>
  <c r="AB31" i="13"/>
  <c r="AA31" i="13"/>
  <c r="AA8" i="13"/>
  <c r="Y31" i="13"/>
  <c r="X31" i="13"/>
  <c r="X8" i="13" s="1"/>
  <c r="V31" i="13"/>
  <c r="U31" i="13"/>
  <c r="U8" i="13"/>
  <c r="S31" i="13"/>
  <c r="R31" i="13"/>
  <c r="R8" i="13" s="1"/>
  <c r="P31" i="13"/>
  <c r="O31" i="13"/>
  <c r="O8" i="13" s="1"/>
  <c r="M31" i="13"/>
  <c r="L31" i="13"/>
  <c r="J31" i="13"/>
  <c r="I31" i="13"/>
  <c r="CA25" i="13"/>
  <c r="BZ25" i="13"/>
  <c r="BX25" i="13"/>
  <c r="BW25" i="13"/>
  <c r="BU25" i="13"/>
  <c r="BT25" i="13"/>
  <c r="BR25" i="13"/>
  <c r="BQ25" i="13"/>
  <c r="BO25" i="13"/>
  <c r="BN25" i="13"/>
  <c r="BL25" i="13"/>
  <c r="BK25" i="13"/>
  <c r="BI25" i="13"/>
  <c r="BH25" i="13"/>
  <c r="BF25" i="13"/>
  <c r="BE25" i="13"/>
  <c r="BC25" i="13"/>
  <c r="BB25" i="13"/>
  <c r="AZ25" i="13"/>
  <c r="AY25" i="13"/>
  <c r="AW25" i="13"/>
  <c r="AV25" i="13"/>
  <c r="AT25" i="13"/>
  <c r="AS25" i="13"/>
  <c r="AQ25" i="13"/>
  <c r="AP25" i="13"/>
  <c r="AN25" i="13"/>
  <c r="AM25" i="13"/>
  <c r="AK25" i="13"/>
  <c r="AJ25" i="13"/>
  <c r="AH25" i="13"/>
  <c r="AG25" i="13"/>
  <c r="AE25" i="13"/>
  <c r="AD25" i="13"/>
  <c r="AB25" i="13"/>
  <c r="AA25" i="13"/>
  <c r="Y25" i="13"/>
  <c r="X25" i="13"/>
  <c r="V25" i="13"/>
  <c r="U25" i="13"/>
  <c r="S25" i="13"/>
  <c r="R25" i="13"/>
  <c r="P25" i="13"/>
  <c r="O25" i="13"/>
  <c r="M25" i="13"/>
  <c r="L25" i="13"/>
  <c r="J25" i="13"/>
  <c r="I25" i="13"/>
  <c r="CB23" i="13"/>
  <c r="CA23" i="13"/>
  <c r="BX23" i="13"/>
  <c r="BV23" i="13" s="1"/>
  <c r="BU23" i="13"/>
  <c r="BS23" i="13"/>
  <c r="BR23" i="13"/>
  <c r="BO23" i="13"/>
  <c r="BM23" i="13"/>
  <c r="BL23" i="13"/>
  <c r="BI23" i="13"/>
  <c r="BF23" i="13"/>
  <c r="BC23" i="13"/>
  <c r="AZ23" i="13"/>
  <c r="AW23" i="13"/>
  <c r="AU23" i="13"/>
  <c r="AT23" i="13"/>
  <c r="AT15" i="13" s="1"/>
  <c r="AR23" i="13"/>
  <c r="AQ23" i="13"/>
  <c r="AN23" i="13"/>
  <c r="AL23" i="13"/>
  <c r="AK23" i="13"/>
  <c r="AH23" i="13"/>
  <c r="AE23" i="13"/>
  <c r="AC23" i="13"/>
  <c r="AB23" i="13"/>
  <c r="Y23" i="13"/>
  <c r="V23" i="13"/>
  <c r="S23" i="13"/>
  <c r="Q23" i="13"/>
  <c r="P23" i="13"/>
  <c r="M23" i="13"/>
  <c r="K23" i="13"/>
  <c r="J23" i="13"/>
  <c r="CB21" i="13"/>
  <c r="CA21" i="13"/>
  <c r="BX21" i="13"/>
  <c r="BU21" i="13"/>
  <c r="BS21" i="13"/>
  <c r="BR21" i="13"/>
  <c r="BP21" i="13"/>
  <c r="BO21" i="13"/>
  <c r="BM21" i="13"/>
  <c r="BL21" i="13"/>
  <c r="BJ21" i="13"/>
  <c r="BI21" i="13"/>
  <c r="BG21" i="13"/>
  <c r="BF21" i="13"/>
  <c r="BD21" i="13"/>
  <c r="BC21" i="13"/>
  <c r="BA21" i="13"/>
  <c r="AZ21" i="13"/>
  <c r="AX21" i="13"/>
  <c r="AW21" i="13"/>
  <c r="AW8" i="13" s="1"/>
  <c r="AU21" i="13"/>
  <c r="AT21" i="13"/>
  <c r="AQ21" i="13"/>
  <c r="AO21" i="13"/>
  <c r="AN21" i="13"/>
  <c r="AK21" i="13"/>
  <c r="AK8" i="13" s="1"/>
  <c r="AI21" i="13"/>
  <c r="AH21" i="13"/>
  <c r="AF21" i="13"/>
  <c r="AE21" i="13"/>
  <c r="AE8" i="13" s="1"/>
  <c r="AC21" i="13"/>
  <c r="AB21" i="13"/>
  <c r="AB8" i="13" s="1"/>
  <c r="Z21" i="13"/>
  <c r="Y21" i="13"/>
  <c r="W21" i="13"/>
  <c r="V21" i="13"/>
  <c r="S21" i="13"/>
  <c r="P21" i="13"/>
  <c r="N21" i="13" s="1"/>
  <c r="M21" i="13"/>
  <c r="M8" i="13"/>
  <c r="K21" i="13"/>
  <c r="J21" i="13"/>
  <c r="H21" i="13"/>
  <c r="BZ15" i="13"/>
  <c r="BT15" i="13"/>
  <c r="BO15" i="13"/>
  <c r="BH15" i="13"/>
  <c r="BB15" i="13"/>
  <c r="AW15" i="13"/>
  <c r="AG15" i="13"/>
  <c r="AE15" i="13"/>
  <c r="AA15" i="13"/>
  <c r="X15" i="13"/>
  <c r="M15" i="13"/>
  <c r="L15" i="13"/>
  <c r="K15" i="13" s="1"/>
  <c r="I15" i="13"/>
  <c r="CC14" i="13"/>
  <c r="CB14" i="13"/>
  <c r="BY14" i="13"/>
  <c r="BV14" i="13"/>
  <c r="BS14" i="13"/>
  <c r="BP14" i="13"/>
  <c r="BM14" i="13"/>
  <c r="BJ14" i="13"/>
  <c r="BG14" i="13"/>
  <c r="BD14" i="13"/>
  <c r="BA14" i="13"/>
  <c r="AX14" i="13"/>
  <c r="AU14" i="13"/>
  <c r="AR14" i="13"/>
  <c r="AO14" i="13"/>
  <c r="AL14" i="13"/>
  <c r="AI14" i="13"/>
  <c r="AF14" i="13"/>
  <c r="AC14" i="13"/>
  <c r="Z14" i="13"/>
  <c r="W14" i="13"/>
  <c r="T14" i="13"/>
  <c r="Q14" i="13"/>
  <c r="N14" i="13"/>
  <c r="K14" i="13"/>
  <c r="H14" i="13"/>
  <c r="BZ8" i="13"/>
  <c r="BU8" i="13"/>
  <c r="BS8" i="13"/>
  <c r="BT8" i="13"/>
  <c r="BU51" i="13" s="1"/>
  <c r="BQ8" i="13"/>
  <c r="BO8" i="13"/>
  <c r="BI8" i="13"/>
  <c r="BH8" i="13"/>
  <c r="BH26" i="13" s="1"/>
  <c r="AY8" i="13"/>
  <c r="AV8" i="13"/>
  <c r="AU8" i="13"/>
  <c r="AO8" i="13"/>
  <c r="AP8" i="13"/>
  <c r="AG8" i="13"/>
  <c r="AF8" i="13" s="1"/>
  <c r="AD8" i="13"/>
  <c r="AD26" i="13" s="1"/>
  <c r="AC8" i="13"/>
  <c r="Y8" i="13"/>
  <c r="P8" i="13"/>
  <c r="L8" i="13"/>
  <c r="L26" i="13" s="1"/>
  <c r="I8" i="13"/>
  <c r="CC7" i="13"/>
  <c r="CB7" i="13"/>
  <c r="BY7" i="13"/>
  <c r="BY25" i="13"/>
  <c r="BV7" i="13"/>
  <c r="BV25" i="13" s="1"/>
  <c r="BS7" i="13"/>
  <c r="BS25" i="13" s="1"/>
  <c r="BP7" i="13"/>
  <c r="BP25" i="13"/>
  <c r="BM7" i="13"/>
  <c r="BM25" i="13" s="1"/>
  <c r="BJ7" i="13"/>
  <c r="BJ25" i="13" s="1"/>
  <c r="BG7" i="13"/>
  <c r="BG25" i="13"/>
  <c r="BD7" i="13"/>
  <c r="BA7" i="13"/>
  <c r="BA25" i="13" s="1"/>
  <c r="AX7" i="13"/>
  <c r="AX25" i="13"/>
  <c r="AU7" i="13"/>
  <c r="AU25" i="13" s="1"/>
  <c r="AR7" i="13"/>
  <c r="AR25" i="13" s="1"/>
  <c r="AO7" i="13"/>
  <c r="AO25" i="13"/>
  <c r="AL7" i="13"/>
  <c r="AI7" i="13"/>
  <c r="AI25" i="13" s="1"/>
  <c r="AF7" i="13"/>
  <c r="AF25" i="13"/>
  <c r="AC7" i="13"/>
  <c r="AC25" i="13" s="1"/>
  <c r="Z7" i="13"/>
  <c r="Z25" i="13" s="1"/>
  <c r="W7" i="13"/>
  <c r="W25" i="13"/>
  <c r="T7" i="13"/>
  <c r="T25" i="13" s="1"/>
  <c r="Q7" i="13"/>
  <c r="Q25" i="13" s="1"/>
  <c r="N7" i="13"/>
  <c r="N25" i="13"/>
  <c r="K7" i="13"/>
  <c r="K25" i="13" s="1"/>
  <c r="H7" i="13"/>
  <c r="H25" i="13" s="1"/>
  <c r="CA40" i="12"/>
  <c r="CA15" i="12" s="1"/>
  <c r="BZ40" i="12"/>
  <c r="BZ15" i="12" s="1"/>
  <c r="BX40" i="12"/>
  <c r="BW40" i="12"/>
  <c r="BT40" i="12"/>
  <c r="BR40" i="12"/>
  <c r="BR15" i="12" s="1"/>
  <c r="BQ40" i="12"/>
  <c r="BO40" i="12"/>
  <c r="BO15" i="12" s="1"/>
  <c r="BN40" i="12"/>
  <c r="BI40" i="12"/>
  <c r="BI15" i="12"/>
  <c r="BH40" i="12"/>
  <c r="BH15" i="12" s="1"/>
  <c r="BI47" i="12" s="1"/>
  <c r="BE40" i="12"/>
  <c r="BE15" i="12" s="1"/>
  <c r="BB40" i="12"/>
  <c r="AY40" i="12"/>
  <c r="AY15" i="12" s="1"/>
  <c r="AW40" i="12"/>
  <c r="AW15" i="12" s="1"/>
  <c r="AT40" i="12"/>
  <c r="AT15" i="12" s="1"/>
  <c r="AR15" i="12" s="1"/>
  <c r="AS40" i="12"/>
  <c r="AP40" i="12"/>
  <c r="AP15" i="12" s="1"/>
  <c r="AM40" i="12"/>
  <c r="AK40" i="12"/>
  <c r="AK15" i="12"/>
  <c r="AJ40" i="12"/>
  <c r="AE40" i="12"/>
  <c r="AD40" i="12"/>
  <c r="AA40" i="12"/>
  <c r="Y40" i="12"/>
  <c r="Y15" i="12" s="1"/>
  <c r="X40" i="12"/>
  <c r="U40" i="12"/>
  <c r="U15" i="12" s="1"/>
  <c r="T47" i="12" s="1"/>
  <c r="T49" i="12" s="1"/>
  <c r="S40" i="12"/>
  <c r="S15" i="12" s="1"/>
  <c r="O40" i="12"/>
  <c r="L40" i="12"/>
  <c r="J40" i="12"/>
  <c r="J15" i="12" s="1"/>
  <c r="I40" i="12"/>
  <c r="CA39" i="12"/>
  <c r="BY39" i="12"/>
  <c r="BX39" i="12"/>
  <c r="BV39" i="12"/>
  <c r="BU39" i="12"/>
  <c r="BU40" i="12" s="1"/>
  <c r="BU15" i="12" s="1"/>
  <c r="BS39" i="12"/>
  <c r="BR39" i="12"/>
  <c r="BP39" i="12"/>
  <c r="BO39" i="12"/>
  <c r="BM39" i="12"/>
  <c r="BL39" i="12"/>
  <c r="BL40" i="12"/>
  <c r="BL15" i="12" s="1"/>
  <c r="BK39" i="12"/>
  <c r="BJ39" i="12" s="1"/>
  <c r="BI39" i="12"/>
  <c r="BG39" i="12"/>
  <c r="BF39" i="12"/>
  <c r="BC39" i="12"/>
  <c r="BC40" i="12" s="1"/>
  <c r="BA39" i="12"/>
  <c r="AZ39" i="12"/>
  <c r="AZ40" i="12" s="1"/>
  <c r="AZ15" i="12" s="1"/>
  <c r="AZ47" i="12" s="1"/>
  <c r="AW39" i="12"/>
  <c r="AV39" i="12"/>
  <c r="AT39" i="12"/>
  <c r="AR39" i="12"/>
  <c r="AQ39" i="12"/>
  <c r="AQ40" i="12" s="1"/>
  <c r="AQ15" i="12" s="1"/>
  <c r="AO39" i="12"/>
  <c r="AN39" i="12"/>
  <c r="AK39" i="12"/>
  <c r="AI39" i="12"/>
  <c r="AH39" i="12"/>
  <c r="AH40" i="12" s="1"/>
  <c r="AH15" i="12" s="1"/>
  <c r="AG39" i="12"/>
  <c r="AF39" i="12" s="1"/>
  <c r="AG40" i="12"/>
  <c r="AG15" i="12" s="1"/>
  <c r="AE39" i="12"/>
  <c r="AC39" i="12"/>
  <c r="AB39" i="12"/>
  <c r="AB40" i="12" s="1"/>
  <c r="AB15" i="12"/>
  <c r="Y39" i="12"/>
  <c r="W39" i="12"/>
  <c r="V39" i="12"/>
  <c r="V40" i="12" s="1"/>
  <c r="V15" i="12" s="1"/>
  <c r="V26" i="12" s="1"/>
  <c r="T39" i="12"/>
  <c r="S39" i="12"/>
  <c r="R39" i="12"/>
  <c r="R40" i="12" s="1"/>
  <c r="R15" i="12" s="1"/>
  <c r="Q39" i="12"/>
  <c r="P39" i="12"/>
  <c r="M39" i="12"/>
  <c r="M40" i="12" s="1"/>
  <c r="K39" i="12"/>
  <c r="J39" i="12"/>
  <c r="H39" i="12"/>
  <c r="CC38" i="12"/>
  <c r="CB38" i="12"/>
  <c r="BY38" i="12"/>
  <c r="BV38" i="12"/>
  <c r="BS38" i="12"/>
  <c r="BP38" i="12"/>
  <c r="BP40" i="12"/>
  <c r="BM38" i="12"/>
  <c r="BM40" i="12" s="1"/>
  <c r="BJ38" i="12"/>
  <c r="BG38" i="12"/>
  <c r="BD38" i="12"/>
  <c r="BA38" i="12"/>
  <c r="AX38" i="12"/>
  <c r="AU38" i="12"/>
  <c r="AR38" i="12"/>
  <c r="AO38" i="12"/>
  <c r="AL38" i="12"/>
  <c r="AI38" i="12"/>
  <c r="AF38" i="12"/>
  <c r="AF40" i="12" s="1"/>
  <c r="AC38" i="12"/>
  <c r="Z38" i="12"/>
  <c r="W38" i="12"/>
  <c r="T38" i="12"/>
  <c r="Q38" i="12"/>
  <c r="Q40" i="12" s="1"/>
  <c r="N38" i="12"/>
  <c r="K38" i="12"/>
  <c r="H38" i="12"/>
  <c r="CC37" i="12"/>
  <c r="CB37" i="12"/>
  <c r="BY37" i="12"/>
  <c r="BY40" i="12" s="1"/>
  <c r="BV37" i="12"/>
  <c r="BS37" i="12"/>
  <c r="BP37" i="12"/>
  <c r="BM37" i="12"/>
  <c r="BJ37" i="12"/>
  <c r="BG37" i="12"/>
  <c r="BG40" i="12" s="1"/>
  <c r="BD37" i="12"/>
  <c r="BA37" i="12"/>
  <c r="AX37" i="12"/>
  <c r="AU37" i="12"/>
  <c r="AR37" i="12"/>
  <c r="AO37" i="12"/>
  <c r="AL37" i="12"/>
  <c r="AI37" i="12"/>
  <c r="AF37" i="12"/>
  <c r="AC37" i="12"/>
  <c r="AC40" i="12" s="1"/>
  <c r="Z37" i="12"/>
  <c r="W37" i="12"/>
  <c r="T37" i="12"/>
  <c r="Q37" i="12"/>
  <c r="N37" i="12"/>
  <c r="K37" i="12"/>
  <c r="K40" i="12" s="1"/>
  <c r="H37" i="12"/>
  <c r="CC36" i="12"/>
  <c r="CB36" i="12"/>
  <c r="BY36" i="12"/>
  <c r="BV36" i="12"/>
  <c r="BV40" i="12" s="1"/>
  <c r="BS36" i="12"/>
  <c r="BP36" i="12"/>
  <c r="BM36" i="12"/>
  <c r="BJ36" i="12"/>
  <c r="BG36" i="12"/>
  <c r="BD36" i="12"/>
  <c r="BA36" i="12"/>
  <c r="AX36" i="12"/>
  <c r="AU36" i="12"/>
  <c r="AR36" i="12"/>
  <c r="AO36" i="12"/>
  <c r="AO40" i="12" s="1"/>
  <c r="AL36" i="12"/>
  <c r="AI36" i="12"/>
  <c r="AF36" i="12"/>
  <c r="AC36" i="12"/>
  <c r="Z36" i="12"/>
  <c r="W36" i="12"/>
  <c r="W40" i="12"/>
  <c r="T36" i="12"/>
  <c r="Q36" i="12"/>
  <c r="N36" i="12"/>
  <c r="K36" i="12"/>
  <c r="H36" i="12"/>
  <c r="H40" i="12"/>
  <c r="CC35" i="12"/>
  <c r="CB35" i="12"/>
  <c r="BY35" i="12"/>
  <c r="BV35" i="12"/>
  <c r="BS35" i="12"/>
  <c r="BP35" i="12"/>
  <c r="BM35" i="12"/>
  <c r="BJ35" i="12"/>
  <c r="BG35" i="12"/>
  <c r="BD35" i="12"/>
  <c r="BA35" i="12"/>
  <c r="AX35" i="12"/>
  <c r="AU35" i="12"/>
  <c r="AR35" i="12"/>
  <c r="AO35" i="12"/>
  <c r="AL35" i="12"/>
  <c r="AI35" i="12"/>
  <c r="AF35" i="12"/>
  <c r="AC35" i="12"/>
  <c r="Z35" i="12"/>
  <c r="W35" i="12"/>
  <c r="T35" i="12"/>
  <c r="Q35" i="12"/>
  <c r="N35" i="12"/>
  <c r="K35" i="12"/>
  <c r="H35" i="12"/>
  <c r="CA34" i="12"/>
  <c r="BZ34" i="12"/>
  <c r="CB34" i="12" s="1"/>
  <c r="BX34" i="12"/>
  <c r="BW34" i="12"/>
  <c r="BU34" i="12"/>
  <c r="BT34" i="12"/>
  <c r="BR34" i="12"/>
  <c r="BR8" i="12" s="1"/>
  <c r="BQ34" i="12"/>
  <c r="BO34" i="12"/>
  <c r="BO8" i="12" s="1"/>
  <c r="BO26" i="12" s="1"/>
  <c r="BN34" i="12"/>
  <c r="BL34" i="12"/>
  <c r="BK34" i="12"/>
  <c r="BI34" i="12"/>
  <c r="BI8" i="12" s="1"/>
  <c r="BH34" i="12"/>
  <c r="BH8" i="12" s="1"/>
  <c r="BF34" i="12"/>
  <c r="BF8" i="12" s="1"/>
  <c r="BD8" i="12" s="1"/>
  <c r="BE34" i="12"/>
  <c r="BC34" i="12"/>
  <c r="BB34" i="12"/>
  <c r="BB8" i="12" s="1"/>
  <c r="AZ34" i="12"/>
  <c r="AY34" i="12"/>
  <c r="AW34" i="12"/>
  <c r="AW8" i="12" s="1"/>
  <c r="AV34" i="12"/>
  <c r="AT34" i="12"/>
  <c r="AS34" i="12"/>
  <c r="AS8" i="12" s="1"/>
  <c r="AQ34" i="12"/>
  <c r="AP34" i="12"/>
  <c r="AO34" i="12"/>
  <c r="AN34" i="12"/>
  <c r="AM34" i="12"/>
  <c r="AK34" i="12"/>
  <c r="AJ34" i="12"/>
  <c r="AJ8" i="12" s="1"/>
  <c r="AH34" i="12"/>
  <c r="AG34" i="12"/>
  <c r="AG8" i="12" s="1"/>
  <c r="AF8" i="12" s="1"/>
  <c r="AE34" i="12"/>
  <c r="AD34" i="12"/>
  <c r="AB34" i="12"/>
  <c r="AB8" i="12" s="1"/>
  <c r="AA34" i="12"/>
  <c r="Y34" i="12"/>
  <c r="X34" i="12"/>
  <c r="X8" i="12" s="1"/>
  <c r="V34" i="12"/>
  <c r="U34" i="12"/>
  <c r="S34" i="12"/>
  <c r="R34" i="12"/>
  <c r="P34" i="12"/>
  <c r="O34" i="12"/>
  <c r="O8" i="12" s="1"/>
  <c r="N8" i="12" s="1"/>
  <c r="M34" i="12"/>
  <c r="L34" i="12"/>
  <c r="J34" i="12"/>
  <c r="I34" i="12"/>
  <c r="CC33" i="12"/>
  <c r="CB33" i="12"/>
  <c r="BY33" i="12"/>
  <c r="BV33" i="12"/>
  <c r="BS33" i="12"/>
  <c r="BP33" i="12"/>
  <c r="BM33" i="12"/>
  <c r="BJ33" i="12"/>
  <c r="BG33" i="12"/>
  <c r="BD33" i="12"/>
  <c r="BA33" i="12"/>
  <c r="AX33" i="12"/>
  <c r="AU33" i="12"/>
  <c r="AR33" i="12"/>
  <c r="AO33" i="12"/>
  <c r="AL33" i="12"/>
  <c r="AL34" i="12" s="1"/>
  <c r="AI33" i="12"/>
  <c r="AF33" i="12"/>
  <c r="AC33" i="12"/>
  <c r="Z33" i="12"/>
  <c r="W33" i="12"/>
  <c r="W34" i="12"/>
  <c r="T33" i="12"/>
  <c r="Q33" i="12"/>
  <c r="N33" i="12"/>
  <c r="K33" i="12"/>
  <c r="H33" i="12"/>
  <c r="CC32" i="12"/>
  <c r="CB32" i="12"/>
  <c r="BY32" i="12"/>
  <c r="BV32" i="12"/>
  <c r="BS32" i="12"/>
  <c r="BP32" i="12"/>
  <c r="BM32" i="12"/>
  <c r="BM34" i="12"/>
  <c r="BJ32" i="12"/>
  <c r="BG32" i="12"/>
  <c r="BD32" i="12"/>
  <c r="BA32" i="12"/>
  <c r="AX32" i="12"/>
  <c r="AX34" i="12" s="1"/>
  <c r="AU32" i="12"/>
  <c r="AR32" i="12"/>
  <c r="AO32" i="12"/>
  <c r="AL32" i="12"/>
  <c r="AI32" i="12"/>
  <c r="AF32" i="12"/>
  <c r="AC32" i="12"/>
  <c r="AC34" i="12"/>
  <c r="Z32" i="12"/>
  <c r="W32" i="12"/>
  <c r="T32" i="12"/>
  <c r="Q32" i="12"/>
  <c r="N32" i="12"/>
  <c r="K32" i="12"/>
  <c r="H32" i="12"/>
  <c r="CC31" i="12"/>
  <c r="CB31" i="12"/>
  <c r="BY31" i="12"/>
  <c r="BY34" i="12" s="1"/>
  <c r="BV31" i="12"/>
  <c r="BS31" i="12"/>
  <c r="BS34" i="12"/>
  <c r="BP31" i="12"/>
  <c r="BP34" i="12" s="1"/>
  <c r="BM31" i="12"/>
  <c r="BJ31" i="12"/>
  <c r="BG31" i="12"/>
  <c r="BD31" i="12"/>
  <c r="BD34" i="12" s="1"/>
  <c r="BA31" i="12"/>
  <c r="BA34" i="12" s="1"/>
  <c r="AX31" i="12"/>
  <c r="AU31" i="12"/>
  <c r="AR31" i="12"/>
  <c r="AR34" i="12"/>
  <c r="AO31" i="12"/>
  <c r="AL31" i="12"/>
  <c r="AI31" i="12"/>
  <c r="AF31" i="12"/>
  <c r="AF34" i="12" s="1"/>
  <c r="AC31" i="12"/>
  <c r="Z31" i="12"/>
  <c r="Z34" i="12" s="1"/>
  <c r="W31" i="12"/>
  <c r="T31" i="12"/>
  <c r="Q31" i="12"/>
  <c r="Q34" i="12"/>
  <c r="N31" i="12"/>
  <c r="N34" i="12" s="1"/>
  <c r="K31" i="12"/>
  <c r="K34" i="12" s="1"/>
  <c r="H31" i="12"/>
  <c r="H34" i="12"/>
  <c r="BR26" i="12"/>
  <c r="BE26" i="12"/>
  <c r="AH26" i="12"/>
  <c r="BZ23" i="12"/>
  <c r="BY23" i="12"/>
  <c r="BX23" i="12"/>
  <c r="BW23" i="12"/>
  <c r="BT23" i="12"/>
  <c r="BR23" i="12"/>
  <c r="BQ23" i="12"/>
  <c r="BN23" i="12"/>
  <c r="BM23" i="12"/>
  <c r="BK23" i="12"/>
  <c r="BJ23" i="12"/>
  <c r="BI23" i="12"/>
  <c r="BG23" i="12"/>
  <c r="BH23" i="12"/>
  <c r="BE23" i="12"/>
  <c r="BD23" i="12"/>
  <c r="BC23" i="12"/>
  <c r="BB23" i="12"/>
  <c r="AY23" i="12"/>
  <c r="AX23" i="12"/>
  <c r="AV23" i="12"/>
  <c r="AU23" i="12"/>
  <c r="AT23" i="12"/>
  <c r="AR23" i="12" s="1"/>
  <c r="AS23" i="12"/>
  <c r="AP23" i="12"/>
  <c r="AO23" i="12"/>
  <c r="AN23" i="12"/>
  <c r="AM23" i="12"/>
  <c r="AL23" i="12" s="1"/>
  <c r="AJ23" i="12"/>
  <c r="AI23" i="12"/>
  <c r="AH23" i="12"/>
  <c r="AG23" i="12"/>
  <c r="AF23" i="12"/>
  <c r="AD23" i="12"/>
  <c r="AC23" i="12"/>
  <c r="AA23" i="12"/>
  <c r="Z23" i="12"/>
  <c r="X23" i="12"/>
  <c r="X15" i="12" s="1"/>
  <c r="W23" i="12"/>
  <c r="U23" i="12"/>
  <c r="T23" i="12"/>
  <c r="R23" i="12"/>
  <c r="Q23" i="12"/>
  <c r="O23" i="12"/>
  <c r="L23" i="12"/>
  <c r="K23" i="12" s="1"/>
  <c r="I23" i="12"/>
  <c r="H23" i="12"/>
  <c r="CA21" i="12"/>
  <c r="BZ21" i="12"/>
  <c r="BW21" i="12"/>
  <c r="BV21" i="12"/>
  <c r="BU21" i="12"/>
  <c r="BT21" i="12"/>
  <c r="BQ21" i="12"/>
  <c r="BP21" i="12" s="1"/>
  <c r="BO21" i="12"/>
  <c r="BN21" i="12"/>
  <c r="BM21" i="12"/>
  <c r="BL21" i="12"/>
  <c r="BK21" i="12"/>
  <c r="BJ21" i="12" s="1"/>
  <c r="BH21" i="12"/>
  <c r="BG21" i="12"/>
  <c r="BF21" i="12"/>
  <c r="BD21" i="12" s="1"/>
  <c r="BE21" i="12"/>
  <c r="BB21" i="12"/>
  <c r="BA21" i="12"/>
  <c r="AZ21" i="12"/>
  <c r="AX21" i="12" s="1"/>
  <c r="AY21" i="12"/>
  <c r="AW21" i="12"/>
  <c r="AU21" i="12" s="1"/>
  <c r="AV21" i="12"/>
  <c r="AT21" i="12"/>
  <c r="AR21" i="12"/>
  <c r="AS21" i="12"/>
  <c r="AP21" i="12"/>
  <c r="AO21" i="12" s="1"/>
  <c r="AM21" i="12"/>
  <c r="AL21" i="12"/>
  <c r="AK21" i="12"/>
  <c r="AJ21" i="12"/>
  <c r="AI21" i="12"/>
  <c r="AG21" i="12"/>
  <c r="AF21" i="12"/>
  <c r="AD21" i="12"/>
  <c r="AC21" i="12"/>
  <c r="AA21" i="12"/>
  <c r="Z21" i="12"/>
  <c r="X21" i="12"/>
  <c r="W21" i="12"/>
  <c r="U21" i="12"/>
  <c r="T21" i="12"/>
  <c r="R21" i="12"/>
  <c r="Q21" i="12"/>
  <c r="O21" i="12"/>
  <c r="N21" i="12"/>
  <c r="L21" i="12"/>
  <c r="J21" i="12"/>
  <c r="I21" i="12"/>
  <c r="H21" i="12"/>
  <c r="BW15" i="12"/>
  <c r="BW26" i="12" s="1"/>
  <c r="BN15" i="12"/>
  <c r="AS15" i="12"/>
  <c r="AJ15" i="12"/>
  <c r="AE15" i="12"/>
  <c r="AD15" i="12"/>
  <c r="AA15" i="12"/>
  <c r="M15" i="12"/>
  <c r="I15" i="12"/>
  <c r="H15" i="12" s="1"/>
  <c r="CA8" i="12"/>
  <c r="BW8" i="12"/>
  <c r="BT8" i="12"/>
  <c r="BL8" i="12"/>
  <c r="BL26" i="12" s="1"/>
  <c r="BK8" i="12"/>
  <c r="BJ8" i="12" s="1"/>
  <c r="BE8" i="12"/>
  <c r="BC8" i="12"/>
  <c r="AY8" i="12"/>
  <c r="AY26" i="12" s="1"/>
  <c r="AV8" i="12"/>
  <c r="AQ8" i="12"/>
  <c r="AP8" i="12"/>
  <c r="AN8" i="12"/>
  <c r="AH8" i="12"/>
  <c r="AE8" i="12"/>
  <c r="AA8" i="12"/>
  <c r="Z8" i="12" s="1"/>
  <c r="Y8" i="12"/>
  <c r="V8" i="12"/>
  <c r="S8" i="12"/>
  <c r="R8" i="12"/>
  <c r="P8" i="12"/>
  <c r="M8" i="12"/>
  <c r="J8" i="12"/>
  <c r="J26" i="12" s="1"/>
  <c r="I8" i="12"/>
  <c r="H8" i="12"/>
  <c r="H26" i="12" s="1"/>
  <c r="Z51" i="11"/>
  <c r="CC44" i="11"/>
  <c r="CB44" i="11"/>
  <c r="BY44" i="11"/>
  <c r="BV44" i="11"/>
  <c r="BS44" i="11"/>
  <c r="BP44" i="11"/>
  <c r="BM44" i="11"/>
  <c r="BJ44" i="11"/>
  <c r="BG44" i="11"/>
  <c r="BD44" i="11"/>
  <c r="BA44" i="11"/>
  <c r="AX44" i="11"/>
  <c r="AU44" i="11"/>
  <c r="AR44" i="11"/>
  <c r="AO44" i="11"/>
  <c r="AL44" i="11"/>
  <c r="AI44" i="11"/>
  <c r="AF44" i="11"/>
  <c r="AC44" i="11"/>
  <c r="Z44" i="11"/>
  <c r="W44" i="11"/>
  <c r="T44" i="11"/>
  <c r="Q44" i="11"/>
  <c r="N44" i="11"/>
  <c r="K44" i="11"/>
  <c r="H44" i="11"/>
  <c r="CC43" i="11"/>
  <c r="CB43" i="11"/>
  <c r="BY43" i="11"/>
  <c r="BV43" i="11"/>
  <c r="BS43" i="11"/>
  <c r="BP43" i="11"/>
  <c r="BM43" i="11"/>
  <c r="BJ43" i="11"/>
  <c r="BG43" i="11"/>
  <c r="BD43" i="11"/>
  <c r="BA43" i="11"/>
  <c r="AX43" i="11"/>
  <c r="AU43" i="11"/>
  <c r="AR43" i="11"/>
  <c r="AO43" i="11"/>
  <c r="AL43" i="11"/>
  <c r="AI43" i="11"/>
  <c r="AF43" i="11"/>
  <c r="AF38" i="11" s="1"/>
  <c r="AC43" i="11"/>
  <c r="Z43" i="11"/>
  <c r="W43" i="11"/>
  <c r="T43" i="11"/>
  <c r="Q43" i="11"/>
  <c r="N43" i="11"/>
  <c r="K43" i="11"/>
  <c r="H43" i="11"/>
  <c r="CC42" i="11"/>
  <c r="CB42" i="11"/>
  <c r="BY42" i="11"/>
  <c r="BV42" i="11"/>
  <c r="BS42" i="11"/>
  <c r="BP42" i="11"/>
  <c r="BM42" i="11"/>
  <c r="BJ42" i="11"/>
  <c r="BG42" i="11"/>
  <c r="BD42" i="11"/>
  <c r="BA42" i="11"/>
  <c r="AX42" i="11"/>
  <c r="AU42" i="11"/>
  <c r="AR42" i="11"/>
  <c r="AO42" i="11"/>
  <c r="AL42" i="11"/>
  <c r="AI42" i="11"/>
  <c r="AF42" i="11"/>
  <c r="AC42" i="11"/>
  <c r="Z42" i="11"/>
  <c r="W42" i="11"/>
  <c r="T42" i="11"/>
  <c r="Q42" i="11"/>
  <c r="N42" i="11"/>
  <c r="K42" i="11"/>
  <c r="H42" i="11"/>
  <c r="CC41" i="11"/>
  <c r="CB41" i="11"/>
  <c r="BY41" i="11"/>
  <c r="BV41" i="11"/>
  <c r="BS41" i="11"/>
  <c r="BP41" i="11"/>
  <c r="BP38" i="11" s="1"/>
  <c r="BM41" i="11"/>
  <c r="BJ41" i="11"/>
  <c r="BG41" i="11"/>
  <c r="BD41" i="11"/>
  <c r="BA41" i="11"/>
  <c r="AX41" i="11"/>
  <c r="AU41" i="11"/>
  <c r="AR41" i="11"/>
  <c r="AO41" i="11"/>
  <c r="AL41" i="11"/>
  <c r="AI41" i="11"/>
  <c r="AF41" i="11"/>
  <c r="AC41" i="11"/>
  <c r="AC38" i="11" s="1"/>
  <c r="Z41" i="11"/>
  <c r="W41" i="11"/>
  <c r="T41" i="11"/>
  <c r="Q41" i="11"/>
  <c r="N41" i="11"/>
  <c r="N38" i="11" s="1"/>
  <c r="K41" i="11"/>
  <c r="H41" i="11"/>
  <c r="CC40" i="11"/>
  <c r="CB40" i="11"/>
  <c r="BY40" i="11"/>
  <c r="BV40" i="11"/>
  <c r="BS40" i="11"/>
  <c r="BP40" i="11"/>
  <c r="BM40" i="11"/>
  <c r="BJ40" i="11"/>
  <c r="BG40" i="11"/>
  <c r="BD40" i="11"/>
  <c r="BA40" i="11"/>
  <c r="AX40" i="11"/>
  <c r="AU40" i="11"/>
  <c r="AR40" i="11"/>
  <c r="AO40" i="11"/>
  <c r="AL40" i="11"/>
  <c r="AI40" i="11"/>
  <c r="AF40" i="11"/>
  <c r="AC40" i="11"/>
  <c r="Z40" i="11"/>
  <c r="W40" i="11"/>
  <c r="T40" i="11"/>
  <c r="Q40" i="11"/>
  <c r="N40" i="11"/>
  <c r="K40" i="11"/>
  <c r="H40" i="11"/>
  <c r="CC39" i="11"/>
  <c r="CB39" i="11"/>
  <c r="BY39" i="11"/>
  <c r="BV39" i="11"/>
  <c r="BS39" i="11"/>
  <c r="BP39" i="11"/>
  <c r="BM39" i="11"/>
  <c r="BJ39" i="11"/>
  <c r="BG39" i="11"/>
  <c r="BD39" i="11"/>
  <c r="BA39" i="11"/>
  <c r="AX39" i="11"/>
  <c r="AU39" i="11"/>
  <c r="AR39" i="11"/>
  <c r="AO39" i="11"/>
  <c r="AL39" i="11"/>
  <c r="AI39" i="11"/>
  <c r="AF39" i="11"/>
  <c r="AC39" i="11"/>
  <c r="Z39" i="11"/>
  <c r="Z38" i="11" s="1"/>
  <c r="W39" i="11"/>
  <c r="T39" i="11"/>
  <c r="Q39" i="11"/>
  <c r="N39" i="11"/>
  <c r="K39" i="11"/>
  <c r="H39" i="11"/>
  <c r="CA38" i="11"/>
  <c r="BZ38" i="11"/>
  <c r="BZ15" i="11" s="1"/>
  <c r="BX38" i="11"/>
  <c r="BW38" i="11"/>
  <c r="BU38" i="11"/>
  <c r="BT38" i="11"/>
  <c r="BR38" i="11"/>
  <c r="BQ38" i="11"/>
  <c r="BO38" i="11"/>
  <c r="BN38" i="11"/>
  <c r="BL38" i="11"/>
  <c r="BK38" i="11"/>
  <c r="BK15" i="11" s="1"/>
  <c r="BI38" i="11"/>
  <c r="BH38" i="11"/>
  <c r="BF38" i="11"/>
  <c r="BE38" i="11"/>
  <c r="BC38" i="11"/>
  <c r="BC15" i="11"/>
  <c r="BB38" i="11"/>
  <c r="AZ38" i="11"/>
  <c r="AY38" i="11"/>
  <c r="AW38" i="11"/>
  <c r="AW15" i="11"/>
  <c r="AV38" i="11"/>
  <c r="AV15" i="11" s="1"/>
  <c r="AU15" i="11" s="1"/>
  <c r="AT38" i="11"/>
  <c r="AS38" i="11"/>
  <c r="AQ38" i="11"/>
  <c r="AP38" i="11"/>
  <c r="AP15" i="11" s="1"/>
  <c r="AN38" i="11"/>
  <c r="AN15" i="11" s="1"/>
  <c r="AM38" i="11"/>
  <c r="AK38" i="11"/>
  <c r="AJ38" i="11"/>
  <c r="AJ15" i="11" s="1"/>
  <c r="AH38" i="11"/>
  <c r="AG38" i="11"/>
  <c r="AG15" i="11" s="1"/>
  <c r="AE38" i="11"/>
  <c r="AE15" i="11" s="1"/>
  <c r="AC15" i="11" s="1"/>
  <c r="AD38" i="11"/>
  <c r="AB38" i="11"/>
  <c r="AA38" i="11"/>
  <c r="AA15" i="11" s="1"/>
  <c r="Y38" i="11"/>
  <c r="Y15" i="11"/>
  <c r="X38" i="11"/>
  <c r="V38" i="11"/>
  <c r="V15" i="11" s="1"/>
  <c r="U38" i="11"/>
  <c r="S38" i="11"/>
  <c r="R38" i="11"/>
  <c r="P38" i="11"/>
  <c r="O38" i="11"/>
  <c r="O15" i="11" s="1"/>
  <c r="M38" i="11"/>
  <c r="L38" i="11"/>
  <c r="J38" i="11"/>
  <c r="I38" i="11"/>
  <c r="CC37" i="11"/>
  <c r="CB37" i="11"/>
  <c r="BY37" i="11"/>
  <c r="BV37" i="11"/>
  <c r="BS37" i="11"/>
  <c r="BP37" i="11"/>
  <c r="BM37" i="11"/>
  <c r="BJ37" i="11"/>
  <c r="BG37" i="11"/>
  <c r="BD37" i="11"/>
  <c r="BA37" i="11"/>
  <c r="AX37" i="11"/>
  <c r="AU37" i="11"/>
  <c r="AR37" i="11"/>
  <c r="AO37" i="11"/>
  <c r="AL37" i="11"/>
  <c r="AI37" i="11"/>
  <c r="AF37" i="11"/>
  <c r="AC37" i="11"/>
  <c r="Z37" i="11"/>
  <c r="W37" i="11"/>
  <c r="T37" i="11"/>
  <c r="Q37" i="11"/>
  <c r="N37" i="11"/>
  <c r="K37" i="11"/>
  <c r="H37" i="11"/>
  <c r="CC36" i="11"/>
  <c r="CB36" i="11"/>
  <c r="BY36" i="11"/>
  <c r="BV36" i="11"/>
  <c r="BS36" i="11"/>
  <c r="BP36" i="11"/>
  <c r="BM36" i="11"/>
  <c r="BJ36" i="11"/>
  <c r="BG36" i="11"/>
  <c r="BD36" i="11"/>
  <c r="BA36" i="11"/>
  <c r="AX36" i="11"/>
  <c r="AU36" i="11"/>
  <c r="AU31" i="11" s="1"/>
  <c r="AR36" i="11"/>
  <c r="AO36" i="11"/>
  <c r="AL36" i="11"/>
  <c r="AI36" i="11"/>
  <c r="AF36" i="11"/>
  <c r="AF31" i="11" s="1"/>
  <c r="AC36" i="11"/>
  <c r="AC31" i="11" s="1"/>
  <c r="Z36" i="11"/>
  <c r="W36" i="11"/>
  <c r="T36" i="11"/>
  <c r="Q36" i="11"/>
  <c r="N36" i="11"/>
  <c r="N31" i="11" s="1"/>
  <c r="K36" i="11"/>
  <c r="H36" i="11"/>
  <c r="CC35" i="11"/>
  <c r="CB35" i="11"/>
  <c r="BY35" i="11"/>
  <c r="BV35" i="11"/>
  <c r="BV31" i="11" s="1"/>
  <c r="BS35" i="11"/>
  <c r="BP35" i="11"/>
  <c r="BM35" i="11"/>
  <c r="BJ35" i="11"/>
  <c r="BJ31" i="11"/>
  <c r="BG35" i="11"/>
  <c r="BD35" i="11"/>
  <c r="BA35" i="11"/>
  <c r="AX35" i="11"/>
  <c r="AU35" i="11"/>
  <c r="AR35" i="11"/>
  <c r="AR31" i="11" s="1"/>
  <c r="AO35" i="11"/>
  <c r="AL35" i="11"/>
  <c r="AI35" i="11"/>
  <c r="AF35" i="11"/>
  <c r="AC35" i="11"/>
  <c r="Z35" i="11"/>
  <c r="Z31" i="11"/>
  <c r="W35" i="11"/>
  <c r="T35" i="11"/>
  <c r="Q35" i="11"/>
  <c r="N35" i="11"/>
  <c r="K35" i="11"/>
  <c r="H35" i="11"/>
  <c r="CC34" i="11"/>
  <c r="CB34" i="11"/>
  <c r="BY34" i="11"/>
  <c r="BV34" i="11"/>
  <c r="BS34" i="11"/>
  <c r="BP34" i="11"/>
  <c r="BP31" i="11"/>
  <c r="BM34" i="11"/>
  <c r="BJ34" i="11"/>
  <c r="BG34" i="11"/>
  <c r="BD34" i="11"/>
  <c r="BA34" i="11"/>
  <c r="AX34" i="11"/>
  <c r="AX31" i="11" s="1"/>
  <c r="AU34" i="11"/>
  <c r="AR34" i="11"/>
  <c r="AO34" i="11"/>
  <c r="AL34" i="11"/>
  <c r="AI34" i="11"/>
  <c r="AF34" i="11"/>
  <c r="AC34" i="11"/>
  <c r="Z34" i="11"/>
  <c r="W34" i="11"/>
  <c r="T34" i="11"/>
  <c r="T31" i="11" s="1"/>
  <c r="Q34" i="11"/>
  <c r="N34" i="11"/>
  <c r="K34" i="11"/>
  <c r="H34" i="11"/>
  <c r="CC33" i="11"/>
  <c r="CB33" i="11"/>
  <c r="BY33" i="11"/>
  <c r="BV33" i="11"/>
  <c r="BS33" i="11"/>
  <c r="BP33" i="11"/>
  <c r="BM33" i="11"/>
  <c r="BJ33" i="11"/>
  <c r="BG33" i="11"/>
  <c r="BD33" i="11"/>
  <c r="BA33" i="11"/>
  <c r="AX33" i="11"/>
  <c r="AU33" i="11"/>
  <c r="AR33" i="11"/>
  <c r="AO33" i="11"/>
  <c r="AL33" i="11"/>
  <c r="AI33" i="11"/>
  <c r="AF33" i="11"/>
  <c r="AC33" i="11"/>
  <c r="Z33" i="11"/>
  <c r="W33" i="11"/>
  <c r="T33" i="11"/>
  <c r="Q33" i="11"/>
  <c r="N33" i="11"/>
  <c r="K33" i="11"/>
  <c r="H33" i="11"/>
  <c r="CC32" i="11"/>
  <c r="CB32" i="11"/>
  <c r="BY32" i="11"/>
  <c r="BV32" i="11"/>
  <c r="BS32" i="11"/>
  <c r="BP32" i="11"/>
  <c r="BM32" i="11"/>
  <c r="BJ32" i="11"/>
  <c r="BG32" i="11"/>
  <c r="BD32" i="11"/>
  <c r="BA32" i="11"/>
  <c r="AX32" i="11"/>
  <c r="AU32" i="11"/>
  <c r="AR32" i="11"/>
  <c r="AO32" i="11"/>
  <c r="AL32" i="11"/>
  <c r="AI32" i="11"/>
  <c r="AF32" i="11"/>
  <c r="AC32" i="11"/>
  <c r="Z32" i="11"/>
  <c r="W32" i="11"/>
  <c r="T32" i="11"/>
  <c r="Q32" i="11"/>
  <c r="N32" i="11"/>
  <c r="K32" i="11"/>
  <c r="H32" i="11"/>
  <c r="CA31" i="11"/>
  <c r="CA8" i="11"/>
  <c r="BZ31" i="11"/>
  <c r="BX31" i="11"/>
  <c r="BX8" i="11" s="1"/>
  <c r="BW31" i="11"/>
  <c r="BU31" i="11"/>
  <c r="BT31" i="11"/>
  <c r="BT8" i="11" s="1"/>
  <c r="BR31" i="11"/>
  <c r="BQ31" i="11"/>
  <c r="BO31" i="11"/>
  <c r="BO8" i="11" s="1"/>
  <c r="BN31" i="11"/>
  <c r="BL31" i="11"/>
  <c r="BK31" i="11"/>
  <c r="BI31" i="11"/>
  <c r="BH31" i="11"/>
  <c r="BF31" i="11"/>
  <c r="BF8" i="11" s="1"/>
  <c r="BE31" i="11"/>
  <c r="BC31" i="11"/>
  <c r="BB31" i="11"/>
  <c r="AZ31" i="11"/>
  <c r="AY31" i="11"/>
  <c r="AW31" i="11"/>
  <c r="AV31" i="11"/>
  <c r="AT31" i="11"/>
  <c r="AT8" i="11" s="1"/>
  <c r="AS31" i="11"/>
  <c r="AQ31" i="11"/>
  <c r="AQ8" i="11" s="1"/>
  <c r="AP31" i="11"/>
  <c r="AP8" i="11" s="1"/>
  <c r="AP26" i="11" s="1"/>
  <c r="AN31" i="11"/>
  <c r="AN8" i="11" s="1"/>
  <c r="AN47" i="11" s="1"/>
  <c r="AN49" i="11" s="1"/>
  <c r="AN55" i="11" s="1"/>
  <c r="AM31" i="11"/>
  <c r="AK31" i="11"/>
  <c r="AK8" i="11" s="1"/>
  <c r="AJ31" i="11"/>
  <c r="AJ8" i="11" s="1"/>
  <c r="AI8" i="11" s="1"/>
  <c r="AH31" i="11"/>
  <c r="AG31" i="11"/>
  <c r="AE31" i="11"/>
  <c r="AD31" i="11"/>
  <c r="AB31" i="11"/>
  <c r="AA31" i="11"/>
  <c r="AA8" i="11" s="1"/>
  <c r="Y31" i="11"/>
  <c r="X31" i="11"/>
  <c r="V31" i="11"/>
  <c r="U31" i="11"/>
  <c r="U8" i="11" s="1"/>
  <c r="S31" i="11"/>
  <c r="R31" i="11"/>
  <c r="R8" i="11" s="1"/>
  <c r="R26" i="11" s="1"/>
  <c r="P31" i="11"/>
  <c r="O31" i="11"/>
  <c r="M31" i="11"/>
  <c r="M8" i="11" s="1"/>
  <c r="L31" i="11"/>
  <c r="J31" i="11"/>
  <c r="I31" i="11"/>
  <c r="AJ26" i="11"/>
  <c r="AD26" i="11"/>
  <c r="CB23" i="11"/>
  <c r="CA23" i="11"/>
  <c r="CA15" i="11" s="1"/>
  <c r="BX23" i="11"/>
  <c r="BV23" i="11"/>
  <c r="BU23" i="11"/>
  <c r="BS23" i="11" s="1"/>
  <c r="BR23" i="11"/>
  <c r="BO23" i="11"/>
  <c r="BO15" i="11" s="1"/>
  <c r="BM23" i="11"/>
  <c r="BL23" i="11"/>
  <c r="BL15" i="11" s="1"/>
  <c r="BJ23" i="11"/>
  <c r="BI23" i="11"/>
  <c r="BG23" i="11"/>
  <c r="BF23" i="11"/>
  <c r="BD23" i="11"/>
  <c r="BC23" i="11"/>
  <c r="BA23" i="11"/>
  <c r="AZ23" i="11"/>
  <c r="AW23" i="11"/>
  <c r="AU23" i="11"/>
  <c r="AT23" i="11"/>
  <c r="AR23" i="11"/>
  <c r="AQ23" i="11"/>
  <c r="AN23" i="11"/>
  <c r="AL23" i="11"/>
  <c r="AK23" i="11"/>
  <c r="AK15" i="11" s="1"/>
  <c r="AI23" i="11"/>
  <c r="AH23" i="11"/>
  <c r="AE23" i="11"/>
  <c r="AC23" i="11"/>
  <c r="AB23" i="11"/>
  <c r="Z23" i="11"/>
  <c r="Y23" i="11"/>
  <c r="W23" i="11"/>
  <c r="V23" i="11"/>
  <c r="T23" i="11"/>
  <c r="S23" i="11"/>
  <c r="S15" i="11" s="1"/>
  <c r="Q23" i="11"/>
  <c r="P23" i="11"/>
  <c r="M23" i="11"/>
  <c r="J23" i="11"/>
  <c r="H23" i="11"/>
  <c r="CB21" i="11"/>
  <c r="CA21" i="11"/>
  <c r="BY21" i="11"/>
  <c r="BX21" i="11"/>
  <c r="BV21" i="11"/>
  <c r="BU21" i="11"/>
  <c r="BR21" i="11"/>
  <c r="BO21" i="11"/>
  <c r="BM21" i="11" s="1"/>
  <c r="BL21" i="11"/>
  <c r="BJ21" i="11"/>
  <c r="BI21" i="11"/>
  <c r="BG21" i="11"/>
  <c r="BF21" i="11"/>
  <c r="BD21" i="11" s="1"/>
  <c r="BC21" i="11"/>
  <c r="BA21" i="11"/>
  <c r="AZ21" i="11"/>
  <c r="AX21" i="11"/>
  <c r="AW21" i="11"/>
  <c r="AT21" i="11"/>
  <c r="AR21" i="11"/>
  <c r="AQ21" i="11"/>
  <c r="AO21" i="11"/>
  <c r="AN21" i="11"/>
  <c r="AL21" i="11" s="1"/>
  <c r="AK21" i="11"/>
  <c r="AI21" i="11"/>
  <c r="AH21" i="11"/>
  <c r="AF21" i="11"/>
  <c r="AE21" i="11"/>
  <c r="AC21" i="11" s="1"/>
  <c r="AB21" i="11"/>
  <c r="Z21" i="11"/>
  <c r="Y21" i="11"/>
  <c r="Y8" i="11" s="1"/>
  <c r="W21" i="11"/>
  <c r="V21" i="11"/>
  <c r="T21" i="11" s="1"/>
  <c r="S21" i="11"/>
  <c r="P21" i="11"/>
  <c r="N21" i="11"/>
  <c r="M21" i="11"/>
  <c r="K21" i="11"/>
  <c r="J21" i="11"/>
  <c r="H21" i="11"/>
  <c r="BX15" i="11"/>
  <c r="BW15" i="11"/>
  <c r="BT15" i="11"/>
  <c r="BQ15" i="11"/>
  <c r="BN15" i="11"/>
  <c r="BJ15" i="11"/>
  <c r="BH15" i="11"/>
  <c r="BF15" i="11"/>
  <c r="BE15" i="11"/>
  <c r="BD15" i="11"/>
  <c r="BB15" i="11"/>
  <c r="AY15" i="11"/>
  <c r="AY26" i="11" s="1"/>
  <c r="AS15" i="11"/>
  <c r="AM15" i="11"/>
  <c r="AN51" i="11" s="1"/>
  <c r="AD15" i="11"/>
  <c r="AB15" i="11"/>
  <c r="X15" i="11"/>
  <c r="Y51" i="11" s="1"/>
  <c r="W15" i="11"/>
  <c r="U15" i="11"/>
  <c r="R15" i="11"/>
  <c r="L15" i="11"/>
  <c r="J15" i="11"/>
  <c r="I15" i="11"/>
  <c r="H51" i="11" s="1"/>
  <c r="J51" i="11"/>
  <c r="H15" i="11"/>
  <c r="BZ8" i="11"/>
  <c r="BW8" i="11"/>
  <c r="BQ8" i="11"/>
  <c r="BN8" i="11"/>
  <c r="BO47" i="11"/>
  <c r="BL8" i="11"/>
  <c r="BK8" i="11"/>
  <c r="BH8" i="11"/>
  <c r="BE8" i="11"/>
  <c r="BC8" i="11"/>
  <c r="BB8" i="11"/>
  <c r="AY8" i="11"/>
  <c r="AV8" i="11"/>
  <c r="AS8" i="11"/>
  <c r="AR8" i="11" s="1"/>
  <c r="AS26" i="11"/>
  <c r="AM8" i="11"/>
  <c r="AL8" i="11" s="1"/>
  <c r="AH8" i="11"/>
  <c r="AG8" i="11"/>
  <c r="AG26" i="11"/>
  <c r="AD8" i="11"/>
  <c r="AB8" i="11"/>
  <c r="X8" i="11"/>
  <c r="V8" i="11"/>
  <c r="V47" i="11" s="1"/>
  <c r="T8" i="11"/>
  <c r="P8" i="11"/>
  <c r="O8" i="11"/>
  <c r="L8" i="11"/>
  <c r="I8" i="11"/>
  <c r="CA33" i="10"/>
  <c r="BZ33" i="10"/>
  <c r="BX33" i="10"/>
  <c r="BW33" i="10"/>
  <c r="BU33" i="10"/>
  <c r="BS33" i="10" s="1"/>
  <c r="BT33" i="10"/>
  <c r="BR33" i="10"/>
  <c r="BQ33" i="10"/>
  <c r="BQ15" i="10" s="1"/>
  <c r="BO33" i="10"/>
  <c r="BN33" i="10"/>
  <c r="BM33" i="10" s="1"/>
  <c r="BL33" i="10"/>
  <c r="BK33" i="10"/>
  <c r="BI33" i="10"/>
  <c r="BH33" i="10"/>
  <c r="BF33" i="10"/>
  <c r="BE33" i="10"/>
  <c r="BD33" i="10" s="1"/>
  <c r="BC33" i="10"/>
  <c r="BB33" i="10"/>
  <c r="BA33" i="10" s="1"/>
  <c r="AZ33" i="10"/>
  <c r="AY33" i="10"/>
  <c r="AX33" i="10" s="1"/>
  <c r="AW33" i="10"/>
  <c r="AV33" i="10"/>
  <c r="AU33" i="10" s="1"/>
  <c r="AT33" i="10"/>
  <c r="AS33" i="10"/>
  <c r="AR33" i="10" s="1"/>
  <c r="AQ33" i="10"/>
  <c r="AP33" i="10"/>
  <c r="AN33" i="10"/>
  <c r="AM33" i="10"/>
  <c r="AL33" i="10" s="1"/>
  <c r="AK33" i="10"/>
  <c r="AJ33" i="10"/>
  <c r="AI33" i="10" s="1"/>
  <c r="AH33" i="10"/>
  <c r="AG33" i="10"/>
  <c r="AF33" i="10"/>
  <c r="AE33" i="10"/>
  <c r="AD33" i="10"/>
  <c r="AC33" i="10" s="1"/>
  <c r="AB33" i="10"/>
  <c r="AA33" i="10"/>
  <c r="AA15" i="10" s="1"/>
  <c r="Z33" i="10"/>
  <c r="Y33" i="10"/>
  <c r="W33" i="10" s="1"/>
  <c r="X33" i="10"/>
  <c r="V33" i="10"/>
  <c r="U33" i="10"/>
  <c r="T33" i="10" s="1"/>
  <c r="S33" i="10"/>
  <c r="R33" i="10"/>
  <c r="R15" i="10" s="1"/>
  <c r="Q33" i="10"/>
  <c r="P33" i="10"/>
  <c r="O33" i="10"/>
  <c r="N33" i="10" s="1"/>
  <c r="M33" i="10"/>
  <c r="L33" i="10"/>
  <c r="K33" i="10"/>
  <c r="J33" i="10"/>
  <c r="I33" i="10"/>
  <c r="CA32" i="10"/>
  <c r="BZ32" i="10"/>
  <c r="BX32" i="10"/>
  <c r="BX15" i="10" s="1"/>
  <c r="BW32" i="10"/>
  <c r="BU32" i="10"/>
  <c r="BU15" i="10" s="1"/>
  <c r="BT32" i="10"/>
  <c r="BR32" i="10"/>
  <c r="BQ32" i="10"/>
  <c r="BO32" i="10"/>
  <c r="BO15" i="10" s="1"/>
  <c r="BN32" i="10"/>
  <c r="BL32" i="10"/>
  <c r="BL15" i="10" s="1"/>
  <c r="BK32" i="10"/>
  <c r="BI32" i="10"/>
  <c r="BH32" i="10"/>
  <c r="BF32" i="10"/>
  <c r="BF15" i="10" s="1"/>
  <c r="BE32" i="10"/>
  <c r="BC32" i="10"/>
  <c r="BC15" i="10" s="1"/>
  <c r="BB32" i="10"/>
  <c r="AZ32" i="10"/>
  <c r="AY32" i="10"/>
  <c r="AW32" i="10"/>
  <c r="AV32" i="10"/>
  <c r="AT32" i="10"/>
  <c r="AT15" i="10" s="1"/>
  <c r="AS32" i="10"/>
  <c r="AQ32" i="10"/>
  <c r="AP32" i="10"/>
  <c r="AN32" i="10"/>
  <c r="AM32" i="10"/>
  <c r="AM15" i="10" s="1"/>
  <c r="AK32" i="10"/>
  <c r="AK15" i="10" s="1"/>
  <c r="AJ32" i="10"/>
  <c r="AH32" i="10"/>
  <c r="AG32" i="10"/>
  <c r="AE32" i="10"/>
  <c r="AD32" i="10"/>
  <c r="AB32" i="10"/>
  <c r="AB15" i="10" s="1"/>
  <c r="AB40" i="10" s="1"/>
  <c r="AA32" i="10"/>
  <c r="Y32" i="10"/>
  <c r="X32" i="10"/>
  <c r="V32" i="10"/>
  <c r="V15" i="10" s="1"/>
  <c r="U32" i="10"/>
  <c r="U15" i="10" s="1"/>
  <c r="S32" i="10"/>
  <c r="S15" i="10" s="1"/>
  <c r="R32" i="10"/>
  <c r="P32" i="10"/>
  <c r="O32" i="10"/>
  <c r="M32" i="10"/>
  <c r="L32" i="10"/>
  <c r="L15" i="10" s="1"/>
  <c r="J32" i="10"/>
  <c r="J15" i="10" s="1"/>
  <c r="I32" i="10"/>
  <c r="CA31" i="10"/>
  <c r="BZ31" i="10"/>
  <c r="BY31" i="10" s="1"/>
  <c r="BX31" i="10"/>
  <c r="BX8" i="10" s="1"/>
  <c r="BX26" i="10" s="1"/>
  <c r="BW31" i="10"/>
  <c r="BU31" i="10"/>
  <c r="BU8" i="10" s="1"/>
  <c r="BT31" i="10"/>
  <c r="BS31" i="10" s="1"/>
  <c r="BR31" i="10"/>
  <c r="BQ31" i="10"/>
  <c r="BQ8" i="10" s="1"/>
  <c r="BR36" i="10" s="1"/>
  <c r="BO31" i="10"/>
  <c r="BO8" i="10" s="1"/>
  <c r="BM31" i="10"/>
  <c r="BN31" i="10"/>
  <c r="BL31" i="10"/>
  <c r="BK31" i="10"/>
  <c r="BJ31" i="10" s="1"/>
  <c r="BI31" i="10"/>
  <c r="BH31" i="10"/>
  <c r="BF31" i="10"/>
  <c r="BE31" i="10"/>
  <c r="BD31" i="10" s="1"/>
  <c r="BC31" i="10"/>
  <c r="BA31" i="10"/>
  <c r="BB31" i="10"/>
  <c r="AZ31" i="10"/>
  <c r="AY31" i="10"/>
  <c r="AW31" i="10"/>
  <c r="AW8" i="10" s="1"/>
  <c r="AV31" i="10"/>
  <c r="AT31" i="10"/>
  <c r="AT8" i="10" s="1"/>
  <c r="AS31" i="10"/>
  <c r="AQ31" i="10"/>
  <c r="AP31" i="10"/>
  <c r="AN31" i="10"/>
  <c r="AN8" i="10" s="1"/>
  <c r="AL31" i="10"/>
  <c r="AM31" i="10"/>
  <c r="AM8" i="10" s="1"/>
  <c r="AK31" i="10"/>
  <c r="AK8" i="10" s="1"/>
  <c r="AJ31" i="10"/>
  <c r="AH31" i="10"/>
  <c r="AG31" i="10"/>
  <c r="AE31" i="10"/>
  <c r="AE8" i="10" s="1"/>
  <c r="AD31" i="10"/>
  <c r="AB31" i="10"/>
  <c r="AB8" i="10" s="1"/>
  <c r="AA31" i="10"/>
  <c r="Y31" i="10"/>
  <c r="Y8" i="10"/>
  <c r="X31" i="10"/>
  <c r="X8" i="10" s="1"/>
  <c r="Y36" i="10" s="1"/>
  <c r="Y38" i="10" s="1"/>
  <c r="V31" i="10"/>
  <c r="V8" i="10" s="1"/>
  <c r="U31" i="10"/>
  <c r="S31" i="10"/>
  <c r="R31" i="10"/>
  <c r="Q31" i="10" s="1"/>
  <c r="P31" i="10"/>
  <c r="O31" i="10"/>
  <c r="M31" i="10"/>
  <c r="M8" i="10" s="1"/>
  <c r="L31" i="10"/>
  <c r="J31" i="10"/>
  <c r="I31" i="10"/>
  <c r="BZ23" i="10"/>
  <c r="BW23" i="10"/>
  <c r="BT23" i="10"/>
  <c r="BS23" i="10"/>
  <c r="BQ23" i="10"/>
  <c r="BP23" i="10"/>
  <c r="BO23" i="10"/>
  <c r="BN23" i="10"/>
  <c r="BN15" i="10" s="1"/>
  <c r="BM23" i="10"/>
  <c r="BK23" i="10"/>
  <c r="BJ23" i="10"/>
  <c r="BH23" i="10"/>
  <c r="BG23" i="10"/>
  <c r="BE23" i="10"/>
  <c r="BD23" i="10"/>
  <c r="BB23" i="10"/>
  <c r="BA23" i="10"/>
  <c r="AY23" i="10"/>
  <c r="AV23" i="10"/>
  <c r="AV15" i="10" s="1"/>
  <c r="AU40" i="10" s="1"/>
  <c r="AU23" i="10"/>
  <c r="AS23" i="10"/>
  <c r="AR23" i="10"/>
  <c r="AQ23" i="10"/>
  <c r="AP23" i="10"/>
  <c r="AO23" i="10" s="1"/>
  <c r="AN23" i="10"/>
  <c r="AN15" i="10"/>
  <c r="AL15" i="10" s="1"/>
  <c r="AM23" i="10"/>
  <c r="AK23" i="10"/>
  <c r="AJ23" i="10"/>
  <c r="AH23" i="10"/>
  <c r="AG23" i="10"/>
  <c r="AE23" i="10"/>
  <c r="AD23" i="10"/>
  <c r="AB23" i="10"/>
  <c r="AA23" i="10"/>
  <c r="Z23" i="10"/>
  <c r="Y23" i="10"/>
  <c r="X23" i="10"/>
  <c r="V23" i="10"/>
  <c r="U23" i="10"/>
  <c r="T23" i="10"/>
  <c r="S23" i="10"/>
  <c r="R23" i="10"/>
  <c r="P23" i="10"/>
  <c r="O23" i="10"/>
  <c r="N23" i="10"/>
  <c r="M23" i="10"/>
  <c r="L23" i="10"/>
  <c r="J23" i="10"/>
  <c r="I23" i="10"/>
  <c r="H23" i="10"/>
  <c r="CC21" i="10"/>
  <c r="BZ21" i="10"/>
  <c r="BW21" i="10"/>
  <c r="BV21" i="10"/>
  <c r="BT21" i="10"/>
  <c r="BQ21" i="10"/>
  <c r="BP21" i="10"/>
  <c r="BN21" i="10"/>
  <c r="BM21" i="10"/>
  <c r="BK21" i="10"/>
  <c r="BH21" i="10"/>
  <c r="BG21" i="10" s="1"/>
  <c r="BE21" i="10"/>
  <c r="BB21" i="10"/>
  <c r="AY21" i="10"/>
  <c r="AX21" i="10"/>
  <c r="AV21" i="10"/>
  <c r="AU21" i="10" s="1"/>
  <c r="AS21" i="10"/>
  <c r="AP21" i="10"/>
  <c r="AO21" i="10"/>
  <c r="AM21" i="10"/>
  <c r="AL21" i="10" s="1"/>
  <c r="AJ21" i="10"/>
  <c r="AG21" i="10"/>
  <c r="AF21" i="10"/>
  <c r="AD21" i="10"/>
  <c r="AC21" i="10"/>
  <c r="AA21" i="10"/>
  <c r="AA8" i="10" s="1"/>
  <c r="X21" i="10"/>
  <c r="W21" i="10" s="1"/>
  <c r="U21" i="10"/>
  <c r="T21" i="10"/>
  <c r="R21" i="10"/>
  <c r="Q21" i="10" s="1"/>
  <c r="O21" i="10"/>
  <c r="N21" i="10" s="1"/>
  <c r="L21" i="10"/>
  <c r="K21" i="10"/>
  <c r="I21" i="10"/>
  <c r="BW15" i="10"/>
  <c r="BK15" i="10"/>
  <c r="AW15" i="10"/>
  <c r="AD15" i="10"/>
  <c r="O15" i="10"/>
  <c r="I15" i="10"/>
  <c r="BN8" i="10"/>
  <c r="BL8" i="10"/>
  <c r="BF8" i="10"/>
  <c r="BC8" i="10"/>
  <c r="AY8" i="10"/>
  <c r="AQ8" i="10"/>
  <c r="AG8" i="10"/>
  <c r="AD8" i="10"/>
  <c r="S8" i="10"/>
  <c r="J8" i="10"/>
  <c r="AZ38" i="9"/>
  <c r="AZ40" i="9" s="1"/>
  <c r="AZ42" i="9" s="1"/>
  <c r="CC31" i="9"/>
  <c r="CB31" i="9"/>
  <c r="BY31" i="9"/>
  <c r="BV31" i="9"/>
  <c r="BS31" i="9"/>
  <c r="BP31" i="9"/>
  <c r="BM31" i="9"/>
  <c r="BJ31" i="9"/>
  <c r="BG31" i="9"/>
  <c r="BD31" i="9"/>
  <c r="BA31" i="9"/>
  <c r="AX31" i="9"/>
  <c r="AU31" i="9"/>
  <c r="AR31" i="9"/>
  <c r="AO31" i="9"/>
  <c r="AL31" i="9"/>
  <c r="AI31" i="9"/>
  <c r="AF31" i="9"/>
  <c r="AC31" i="9"/>
  <c r="Z31" i="9"/>
  <c r="W31" i="9"/>
  <c r="T31" i="9"/>
  <c r="Q31" i="9"/>
  <c r="N31" i="9"/>
  <c r="K31" i="9"/>
  <c r="H31" i="9"/>
  <c r="CC30" i="9"/>
  <c r="CB30" i="9"/>
  <c r="BY30" i="9"/>
  <c r="BV30" i="9"/>
  <c r="BS30" i="9"/>
  <c r="BP30" i="9"/>
  <c r="BM30" i="9"/>
  <c r="BJ30" i="9"/>
  <c r="BG30" i="9"/>
  <c r="BD30" i="9"/>
  <c r="BA30" i="9"/>
  <c r="AX30" i="9"/>
  <c r="AU30" i="9"/>
  <c r="AR30" i="9"/>
  <c r="AO30" i="9"/>
  <c r="AL30" i="9"/>
  <c r="AI30" i="9"/>
  <c r="AF30" i="9"/>
  <c r="AC30" i="9"/>
  <c r="Z30" i="9"/>
  <c r="W30" i="9"/>
  <c r="T30" i="9"/>
  <c r="Q30" i="9"/>
  <c r="N30" i="9"/>
  <c r="K30" i="9"/>
  <c r="H30" i="9"/>
  <c r="CC29" i="9"/>
  <c r="CB29" i="9"/>
  <c r="BY29" i="9"/>
  <c r="BV29" i="9"/>
  <c r="BS29" i="9"/>
  <c r="BP29" i="9"/>
  <c r="BM29" i="9"/>
  <c r="BJ29" i="9"/>
  <c r="BG29" i="9"/>
  <c r="BD29" i="9"/>
  <c r="BA29" i="9"/>
  <c r="AX29" i="9"/>
  <c r="AU29" i="9"/>
  <c r="AR29" i="9"/>
  <c r="AO29" i="9"/>
  <c r="AL29" i="9"/>
  <c r="AI29" i="9"/>
  <c r="AF29" i="9"/>
  <c r="AC29" i="9"/>
  <c r="Z29" i="9"/>
  <c r="W29" i="9"/>
  <c r="T29" i="9"/>
  <c r="Q29" i="9"/>
  <c r="N29" i="9"/>
  <c r="K29" i="9"/>
  <c r="H29" i="9"/>
  <c r="BY21" i="9"/>
  <c r="BV21" i="9"/>
  <c r="BS21" i="9"/>
  <c r="BP21" i="9"/>
  <c r="BM21" i="9"/>
  <c r="BJ21" i="9"/>
  <c r="BG21" i="9"/>
  <c r="BD21" i="9"/>
  <c r="BA21" i="9"/>
  <c r="AX21" i="9"/>
  <c r="AU21" i="9"/>
  <c r="AR21" i="9"/>
  <c r="AO21" i="9"/>
  <c r="AL21" i="9"/>
  <c r="AI21" i="9"/>
  <c r="AF21" i="9"/>
  <c r="AC21" i="9"/>
  <c r="Z21" i="9"/>
  <c r="W21" i="9"/>
  <c r="T21" i="9"/>
  <c r="Q21" i="9"/>
  <c r="N21" i="9"/>
  <c r="K21" i="9"/>
  <c r="J21" i="9"/>
  <c r="J14" i="9"/>
  <c r="I21" i="9"/>
  <c r="CC19" i="9"/>
  <c r="CB19" i="9"/>
  <c r="BY19" i="9"/>
  <c r="BV19" i="9"/>
  <c r="BS19" i="9"/>
  <c r="BP19" i="9"/>
  <c r="BM19" i="9"/>
  <c r="BJ19" i="9"/>
  <c r="BG19" i="9"/>
  <c r="BD19" i="9"/>
  <c r="BA19" i="9"/>
  <c r="AX19" i="9"/>
  <c r="AU19" i="9"/>
  <c r="AR19" i="9"/>
  <c r="AO19" i="9"/>
  <c r="AL19" i="9"/>
  <c r="AI19" i="9"/>
  <c r="AF19" i="9"/>
  <c r="AC19" i="9"/>
  <c r="Z19" i="9"/>
  <c r="W19" i="9"/>
  <c r="T19" i="9"/>
  <c r="Q19" i="9"/>
  <c r="N19" i="9"/>
  <c r="K19" i="9"/>
  <c r="H19" i="9"/>
  <c r="CA14" i="9"/>
  <c r="BZ14" i="9"/>
  <c r="BZ24" i="9" s="1"/>
  <c r="BX14" i="9"/>
  <c r="BW14" i="9"/>
  <c r="BU14" i="9"/>
  <c r="BT14" i="9"/>
  <c r="BR14" i="9"/>
  <c r="BQ14" i="9"/>
  <c r="BO14" i="9"/>
  <c r="BN14" i="9"/>
  <c r="BO38" i="9" s="1"/>
  <c r="BL14" i="9"/>
  <c r="BL38" i="9" s="1"/>
  <c r="BL40" i="9"/>
  <c r="BK14" i="9"/>
  <c r="BJ14" i="9"/>
  <c r="BI14" i="9"/>
  <c r="BH14" i="9"/>
  <c r="BF14" i="9"/>
  <c r="BE14" i="9"/>
  <c r="BD14" i="9" s="1"/>
  <c r="BF38" i="9"/>
  <c r="BF40" i="9" s="1"/>
  <c r="BF42" i="9" s="1"/>
  <c r="BC14" i="9"/>
  <c r="BC38" i="9" s="1"/>
  <c r="BB14" i="9"/>
  <c r="AZ14" i="9"/>
  <c r="AZ24" i="9" s="1"/>
  <c r="AY14" i="9"/>
  <c r="AX14" i="9"/>
  <c r="AW14" i="9"/>
  <c r="AV14" i="9"/>
  <c r="AT14" i="9"/>
  <c r="AS14" i="9"/>
  <c r="AT38" i="9"/>
  <c r="AR14" i="9"/>
  <c r="AR24" i="9" s="1"/>
  <c r="AQ14" i="9"/>
  <c r="AP14" i="9"/>
  <c r="AO14" i="9" s="1"/>
  <c r="AN14" i="9"/>
  <c r="AN24" i="9" s="1"/>
  <c r="AM14" i="9"/>
  <c r="AL14" i="9" s="1"/>
  <c r="AN38" i="9"/>
  <c r="AK14" i="9"/>
  <c r="AJ14" i="9"/>
  <c r="AH14" i="9"/>
  <c r="AG14" i="9"/>
  <c r="AF14" i="9"/>
  <c r="AE14" i="9"/>
  <c r="AD14" i="9"/>
  <c r="AE38" i="9"/>
  <c r="AE40" i="9" s="1"/>
  <c r="AB14" i="9"/>
  <c r="AA14" i="9"/>
  <c r="Y14" i="9"/>
  <c r="X14" i="9"/>
  <c r="V14" i="9"/>
  <c r="U14" i="9"/>
  <c r="V38" i="9"/>
  <c r="T14" i="9"/>
  <c r="S14" i="9"/>
  <c r="R14" i="9"/>
  <c r="P14" i="9"/>
  <c r="P40" i="9" s="1"/>
  <c r="O14" i="9"/>
  <c r="P38" i="9" s="1"/>
  <c r="N14" i="9"/>
  <c r="M14" i="9"/>
  <c r="L14" i="9"/>
  <c r="CA8" i="9"/>
  <c r="BZ8" i="9"/>
  <c r="BX8" i="9"/>
  <c r="BW8" i="9"/>
  <c r="BU8" i="9"/>
  <c r="BT8" i="9"/>
  <c r="BR8" i="9"/>
  <c r="BR24" i="9" s="1"/>
  <c r="BQ8" i="9"/>
  <c r="BO8" i="9"/>
  <c r="BN8" i="9"/>
  <c r="BL8" i="9"/>
  <c r="BK8" i="9"/>
  <c r="BI8" i="9"/>
  <c r="BI24" i="9"/>
  <c r="BH8" i="9"/>
  <c r="BF8" i="9"/>
  <c r="BE8" i="9"/>
  <c r="BE24" i="9" s="1"/>
  <c r="BC8" i="9"/>
  <c r="BB8" i="9"/>
  <c r="AZ8" i="9"/>
  <c r="AY8" i="9"/>
  <c r="AX34" i="9" s="1"/>
  <c r="AW8" i="9"/>
  <c r="AV8" i="9"/>
  <c r="AT8" i="9"/>
  <c r="AS8" i="9"/>
  <c r="AT34" i="9" s="1"/>
  <c r="AQ8" i="9"/>
  <c r="AQ24" i="9"/>
  <c r="AP8" i="9"/>
  <c r="AO36" i="9" s="1"/>
  <c r="AN8" i="9"/>
  <c r="AM8" i="9"/>
  <c r="AL8" i="9" s="1"/>
  <c r="AK8" i="9"/>
  <c r="AJ8" i="9"/>
  <c r="AI8" i="9" s="1"/>
  <c r="AK34" i="9"/>
  <c r="AH8" i="9"/>
  <c r="AG8" i="9"/>
  <c r="AE8" i="9"/>
  <c r="AE36" i="9" s="1"/>
  <c r="AD8" i="9"/>
  <c r="AE34" i="9" s="1"/>
  <c r="AB8" i="9"/>
  <c r="AA8" i="9"/>
  <c r="Y8" i="9"/>
  <c r="Y34" i="9" s="1"/>
  <c r="X8" i="9"/>
  <c r="V8" i="9"/>
  <c r="U8" i="9"/>
  <c r="T8" i="9" s="1"/>
  <c r="S8" i="9"/>
  <c r="R8" i="9"/>
  <c r="P8" i="9"/>
  <c r="P24" i="9"/>
  <c r="O8" i="9"/>
  <c r="M8" i="9"/>
  <c r="M34" i="9" s="1"/>
  <c r="L8" i="9"/>
  <c r="J8" i="9"/>
  <c r="I8" i="9"/>
  <c r="C26" i="8"/>
  <c r="AU25" i="8"/>
  <c r="CC20" i="8"/>
  <c r="CB20" i="8"/>
  <c r="BY20" i="8"/>
  <c r="BV20" i="8"/>
  <c r="BS20" i="8"/>
  <c r="BP20" i="8"/>
  <c r="BM20" i="8"/>
  <c r="BJ20" i="8"/>
  <c r="BG20" i="8"/>
  <c r="BD20" i="8"/>
  <c r="BA20" i="8"/>
  <c r="AX20" i="8"/>
  <c r="AU20" i="8"/>
  <c r="AR20" i="8"/>
  <c r="AO20" i="8"/>
  <c r="AL20" i="8"/>
  <c r="AI20" i="8"/>
  <c r="AF20" i="8"/>
  <c r="AC20" i="8"/>
  <c r="Z20" i="8"/>
  <c r="W20" i="8"/>
  <c r="T20" i="8"/>
  <c r="Q20" i="8"/>
  <c r="N20" i="8"/>
  <c r="K20" i="8"/>
  <c r="H20" i="8"/>
  <c r="CB12" i="8"/>
  <c r="CA12" i="8"/>
  <c r="BY12" i="8"/>
  <c r="BX12" i="8"/>
  <c r="BU12" i="8"/>
  <c r="BS12" i="8" s="1"/>
  <c r="BR12" i="8"/>
  <c r="BP12" i="8"/>
  <c r="BO12" i="8"/>
  <c r="BL12" i="8"/>
  <c r="BJ12" i="8" s="1"/>
  <c r="BI12" i="8"/>
  <c r="BG12" i="8"/>
  <c r="BF12" i="8"/>
  <c r="BF8" i="8" s="1"/>
  <c r="BC12" i="8"/>
  <c r="AZ12" i="8"/>
  <c r="AX12" i="8" s="1"/>
  <c r="AW12" i="8"/>
  <c r="AW8" i="8" s="1"/>
  <c r="AU8" i="8" s="1"/>
  <c r="AU12" i="8"/>
  <c r="AT12" i="8"/>
  <c r="AT8" i="8" s="1"/>
  <c r="AR25" i="8" s="1"/>
  <c r="AQ12" i="8"/>
  <c r="AN12" i="8"/>
  <c r="AK12" i="8"/>
  <c r="AK8" i="8" s="1"/>
  <c r="AI12" i="8"/>
  <c r="AH12" i="8"/>
  <c r="AH8" i="8" s="1"/>
  <c r="AF25" i="8" s="1"/>
  <c r="AF27" i="8" s="1"/>
  <c r="AF29" i="8" s="1"/>
  <c r="AE12" i="8"/>
  <c r="AC12" i="8"/>
  <c r="AB12" i="8"/>
  <c r="AB8" i="8" s="1"/>
  <c r="Z12" i="8"/>
  <c r="Y12" i="8"/>
  <c r="Y8" i="8" s="1"/>
  <c r="W8" i="8" s="1"/>
  <c r="V12" i="8"/>
  <c r="S12" i="8"/>
  <c r="S8" i="8" s="1"/>
  <c r="Q12" i="8"/>
  <c r="P12" i="8"/>
  <c r="P8" i="8" s="1"/>
  <c r="N12" i="8"/>
  <c r="M12" i="8"/>
  <c r="J12" i="8"/>
  <c r="H12" i="8"/>
  <c r="CA8" i="8"/>
  <c r="BZ8" i="8"/>
  <c r="BW8" i="8"/>
  <c r="BU8" i="8"/>
  <c r="BT8" i="8"/>
  <c r="BR8" i="8"/>
  <c r="BQ8" i="8"/>
  <c r="BN8" i="8"/>
  <c r="BL8" i="8"/>
  <c r="BK8" i="8"/>
  <c r="BI8" i="8"/>
  <c r="BH8" i="8"/>
  <c r="BG8" i="8" s="1"/>
  <c r="BE8" i="8"/>
  <c r="BB8" i="8"/>
  <c r="AZ8" i="8"/>
  <c r="AY8" i="8"/>
  <c r="AZ25" i="8" s="1"/>
  <c r="AX8" i="8"/>
  <c r="AV8" i="8"/>
  <c r="AS8" i="8"/>
  <c r="AP8" i="8"/>
  <c r="AM8" i="8"/>
  <c r="AJ8" i="8"/>
  <c r="AG8" i="8"/>
  <c r="AF8" i="8"/>
  <c r="AD8" i="8"/>
  <c r="AA8" i="8"/>
  <c r="X8" i="8"/>
  <c r="U8" i="8"/>
  <c r="R8" i="8"/>
  <c r="Q8" i="8" s="1"/>
  <c r="O8" i="8"/>
  <c r="N8" i="8"/>
  <c r="L8" i="8"/>
  <c r="J8" i="8"/>
  <c r="I8" i="8"/>
  <c r="I15" i="8" s="1"/>
  <c r="BY7" i="8"/>
  <c r="BV7" i="8"/>
  <c r="BS7" i="8"/>
  <c r="BP7" i="8"/>
  <c r="BM7" i="8"/>
  <c r="BJ7" i="8"/>
  <c r="BG7" i="8"/>
  <c r="BD7" i="8"/>
  <c r="BA7" i="8"/>
  <c r="AX7" i="8"/>
  <c r="AU7" i="8"/>
  <c r="AR7" i="8"/>
  <c r="AO7" i="8"/>
  <c r="AL7" i="8"/>
  <c r="AI7" i="8"/>
  <c r="AF7" i="8"/>
  <c r="AC7" i="8"/>
  <c r="Z7" i="8"/>
  <c r="W7" i="8"/>
  <c r="T7" i="8"/>
  <c r="Q7" i="8"/>
  <c r="N7" i="8"/>
  <c r="K7" i="8"/>
  <c r="H7" i="8"/>
  <c r="CA41" i="7"/>
  <c r="BZ41" i="7"/>
  <c r="BX41" i="7"/>
  <c r="BW41" i="7"/>
  <c r="BU41" i="7"/>
  <c r="BT41" i="7"/>
  <c r="BR41" i="7"/>
  <c r="BQ41" i="7"/>
  <c r="BO41" i="7"/>
  <c r="BN41" i="7"/>
  <c r="BL41" i="7"/>
  <c r="BK41" i="7"/>
  <c r="BI41" i="7"/>
  <c r="CC41" i="7" s="1"/>
  <c r="BH41" i="7"/>
  <c r="BF41" i="7"/>
  <c r="BE41" i="7"/>
  <c r="BC41" i="7"/>
  <c r="BB41" i="7"/>
  <c r="AZ41" i="7"/>
  <c r="AY41" i="7"/>
  <c r="AW41" i="7"/>
  <c r="AV41" i="7"/>
  <c r="AT41" i="7"/>
  <c r="AS41" i="7"/>
  <c r="AQ41" i="7"/>
  <c r="AP41" i="7"/>
  <c r="AN41" i="7"/>
  <c r="AM41" i="7"/>
  <c r="AK41" i="7"/>
  <c r="AJ41" i="7"/>
  <c r="AH41" i="7"/>
  <c r="AG41" i="7"/>
  <c r="AE41" i="7"/>
  <c r="AD41" i="7"/>
  <c r="AB41" i="7"/>
  <c r="AA41" i="7"/>
  <c r="Y41" i="7"/>
  <c r="X41" i="7"/>
  <c r="V41" i="7"/>
  <c r="U41" i="7"/>
  <c r="T41" i="7"/>
  <c r="S41" i="7"/>
  <c r="R41" i="7"/>
  <c r="CB41" i="7" s="1"/>
  <c r="P41" i="7"/>
  <c r="O41" i="7"/>
  <c r="M41" i="7"/>
  <c r="L41" i="7"/>
  <c r="J41" i="7"/>
  <c r="I41" i="7"/>
  <c r="BY40" i="7"/>
  <c r="BV40" i="7"/>
  <c r="BS40" i="7"/>
  <c r="BP40" i="7"/>
  <c r="BM40" i="7"/>
  <c r="BJ40" i="7"/>
  <c r="BG40" i="7"/>
  <c r="BD40" i="7"/>
  <c r="BA40" i="7"/>
  <c r="AX40" i="7"/>
  <c r="AU40" i="7"/>
  <c r="AR40" i="7"/>
  <c r="AO40" i="7"/>
  <c r="AL40" i="7"/>
  <c r="AI40" i="7"/>
  <c r="AF40" i="7"/>
  <c r="AC40" i="7"/>
  <c r="Z40" i="7"/>
  <c r="W40" i="7"/>
  <c r="T40" i="7"/>
  <c r="Q40" i="7"/>
  <c r="N40" i="7"/>
  <c r="K40" i="7"/>
  <c r="H40" i="7"/>
  <c r="BY39" i="7"/>
  <c r="BV39" i="7"/>
  <c r="BS39" i="7"/>
  <c r="BP39" i="7"/>
  <c r="BM39" i="7"/>
  <c r="BJ39" i="7"/>
  <c r="BG39" i="7"/>
  <c r="BD39" i="7"/>
  <c r="BA39" i="7"/>
  <c r="AX39" i="7"/>
  <c r="AU39" i="7"/>
  <c r="AR39" i="7"/>
  <c r="AO39" i="7"/>
  <c r="AL39" i="7"/>
  <c r="AI39" i="7"/>
  <c r="AF39" i="7"/>
  <c r="AC39" i="7"/>
  <c r="Z39" i="7"/>
  <c r="W39" i="7"/>
  <c r="T39" i="7"/>
  <c r="Q39" i="7"/>
  <c r="N39" i="7"/>
  <c r="K39" i="7"/>
  <c r="H39" i="7"/>
  <c r="BY38" i="7"/>
  <c r="BV38" i="7"/>
  <c r="BS38" i="7"/>
  <c r="BP38" i="7"/>
  <c r="BM38" i="7"/>
  <c r="BJ38" i="7"/>
  <c r="BG38" i="7"/>
  <c r="BD38" i="7"/>
  <c r="BA38" i="7"/>
  <c r="AX38" i="7"/>
  <c r="AU38" i="7"/>
  <c r="AR38" i="7"/>
  <c r="AO38" i="7"/>
  <c r="AL38" i="7"/>
  <c r="AI38" i="7"/>
  <c r="AF38" i="7"/>
  <c r="AC38" i="7"/>
  <c r="Z38" i="7"/>
  <c r="W38" i="7"/>
  <c r="T38" i="7"/>
  <c r="Q38" i="7"/>
  <c r="N38" i="7"/>
  <c r="K38" i="7"/>
  <c r="H38" i="7"/>
  <c r="BY37" i="7"/>
  <c r="BV37" i="7"/>
  <c r="BS37" i="7"/>
  <c r="BP37" i="7"/>
  <c r="BP41" i="7" s="1"/>
  <c r="BM37" i="7"/>
  <c r="BM41" i="7" s="1"/>
  <c r="BJ37" i="7"/>
  <c r="BG37" i="7"/>
  <c r="BD37" i="7"/>
  <c r="BA37" i="7"/>
  <c r="AX37" i="7"/>
  <c r="AU37" i="7"/>
  <c r="AR37" i="7"/>
  <c r="AO37" i="7"/>
  <c r="AL37" i="7"/>
  <c r="AI37" i="7"/>
  <c r="AF37" i="7"/>
  <c r="AC37" i="7"/>
  <c r="AC41" i="7" s="1"/>
  <c r="Z37" i="7"/>
  <c r="W37" i="7"/>
  <c r="T37" i="7"/>
  <c r="Q37" i="7"/>
  <c r="N37" i="7"/>
  <c r="K37" i="7"/>
  <c r="H37" i="7"/>
  <c r="BY36" i="7"/>
  <c r="BY41" i="7"/>
  <c r="BV36" i="7"/>
  <c r="BV41" i="7"/>
  <c r="BS36" i="7"/>
  <c r="BS41" i="7" s="1"/>
  <c r="BP36" i="7"/>
  <c r="BM36" i="7"/>
  <c r="BJ36" i="7"/>
  <c r="BJ41" i="7" s="1"/>
  <c r="BG36" i="7"/>
  <c r="BG41" i="7"/>
  <c r="BD36" i="7"/>
  <c r="BD41" i="7"/>
  <c r="BA36" i="7"/>
  <c r="AX36" i="7"/>
  <c r="AX41" i="7"/>
  <c r="AU36" i="7"/>
  <c r="AU41" i="7" s="1"/>
  <c r="AR36" i="7"/>
  <c r="AR41" i="7" s="1"/>
  <c r="AO36" i="7"/>
  <c r="AO41" i="7"/>
  <c r="AL36" i="7"/>
  <c r="AL41" i="7" s="1"/>
  <c r="AI36" i="7"/>
  <c r="AI41" i="7" s="1"/>
  <c r="AF36" i="7"/>
  <c r="AC36" i="7"/>
  <c r="Z36" i="7"/>
  <c r="Z41" i="7" s="1"/>
  <c r="W36" i="7"/>
  <c r="W41" i="7" s="1"/>
  <c r="T36" i="7"/>
  <c r="Q36" i="7"/>
  <c r="Q41" i="7"/>
  <c r="N36" i="7"/>
  <c r="K36" i="7"/>
  <c r="H36" i="7"/>
  <c r="H41" i="7"/>
  <c r="CA35" i="7"/>
  <c r="BZ35" i="7"/>
  <c r="BX35" i="7"/>
  <c r="BW35" i="7"/>
  <c r="BU35" i="7"/>
  <c r="BT35" i="7"/>
  <c r="BR35" i="7"/>
  <c r="BQ35" i="7"/>
  <c r="BO35" i="7"/>
  <c r="BN35" i="7"/>
  <c r="BL35" i="7"/>
  <c r="BK35" i="7"/>
  <c r="BI35" i="7"/>
  <c r="BH35" i="7"/>
  <c r="BF35" i="7"/>
  <c r="BE35" i="7"/>
  <c r="BC35" i="7"/>
  <c r="BB35" i="7"/>
  <c r="AZ35" i="7"/>
  <c r="AY35" i="7"/>
  <c r="AW35" i="7"/>
  <c r="AV35" i="7"/>
  <c r="AT35" i="7"/>
  <c r="AS35" i="7"/>
  <c r="AQ35" i="7"/>
  <c r="AP35" i="7"/>
  <c r="AN35" i="7"/>
  <c r="AM35" i="7"/>
  <c r="AK35" i="7"/>
  <c r="AJ35" i="7"/>
  <c r="AH35" i="7"/>
  <c r="AG35" i="7"/>
  <c r="AE35" i="7"/>
  <c r="AD35" i="7"/>
  <c r="AB35" i="7"/>
  <c r="AA35" i="7"/>
  <c r="Y35" i="7"/>
  <c r="X35" i="7"/>
  <c r="V35" i="7"/>
  <c r="U35" i="7"/>
  <c r="S35" i="7"/>
  <c r="R35" i="7"/>
  <c r="P35" i="7"/>
  <c r="O35" i="7"/>
  <c r="M35" i="7"/>
  <c r="L35" i="7"/>
  <c r="J35" i="7"/>
  <c r="I35" i="7"/>
  <c r="BY34" i="7"/>
  <c r="BV34" i="7"/>
  <c r="BS34" i="7"/>
  <c r="BP34" i="7"/>
  <c r="BM34" i="7"/>
  <c r="BJ34" i="7"/>
  <c r="BG34" i="7"/>
  <c r="BD34" i="7"/>
  <c r="BA34" i="7"/>
  <c r="AX34" i="7"/>
  <c r="AU34" i="7"/>
  <c r="AR34" i="7"/>
  <c r="AO34" i="7"/>
  <c r="AL34" i="7"/>
  <c r="AI34" i="7"/>
  <c r="AF34" i="7"/>
  <c r="AC34" i="7"/>
  <c r="Z34" i="7"/>
  <c r="W34" i="7"/>
  <c r="T34" i="7"/>
  <c r="Q34" i="7"/>
  <c r="N34" i="7"/>
  <c r="K34" i="7"/>
  <c r="H34" i="7"/>
  <c r="BY33" i="7"/>
  <c r="BV33" i="7"/>
  <c r="BS33" i="7"/>
  <c r="BP33" i="7"/>
  <c r="BM33" i="7"/>
  <c r="BJ33" i="7"/>
  <c r="BG33" i="7"/>
  <c r="BD33" i="7"/>
  <c r="BA33" i="7"/>
  <c r="AX33" i="7"/>
  <c r="AU33" i="7"/>
  <c r="AR33" i="7"/>
  <c r="AO33" i="7"/>
  <c r="AL33" i="7"/>
  <c r="AI33" i="7"/>
  <c r="AF33" i="7"/>
  <c r="AC33" i="7"/>
  <c r="Z33" i="7"/>
  <c r="W33" i="7"/>
  <c r="T33" i="7"/>
  <c r="Q33" i="7"/>
  <c r="N33" i="7"/>
  <c r="K33" i="7"/>
  <c r="H33" i="7"/>
  <c r="BY32" i="7"/>
  <c r="BV32" i="7"/>
  <c r="BS32" i="7"/>
  <c r="BP32" i="7"/>
  <c r="BM32" i="7"/>
  <c r="BJ32" i="7"/>
  <c r="BG32" i="7"/>
  <c r="BD32" i="7"/>
  <c r="BA32" i="7"/>
  <c r="AX32" i="7"/>
  <c r="AU32" i="7"/>
  <c r="AU35" i="7" s="1"/>
  <c r="AR32" i="7"/>
  <c r="AO32" i="7"/>
  <c r="AL32" i="7"/>
  <c r="AI32" i="7"/>
  <c r="AF32" i="7"/>
  <c r="AC32" i="7"/>
  <c r="Z32" i="7"/>
  <c r="Z35" i="7" s="1"/>
  <c r="W32" i="7"/>
  <c r="T32" i="7"/>
  <c r="Q32" i="7"/>
  <c r="N32" i="7"/>
  <c r="K32" i="7"/>
  <c r="K35" i="7" s="1"/>
  <c r="H32" i="7"/>
  <c r="BY31" i="7"/>
  <c r="BY35" i="7" s="1"/>
  <c r="BV31" i="7"/>
  <c r="BV35" i="7"/>
  <c r="BS31" i="7"/>
  <c r="BS35" i="7"/>
  <c r="BP31" i="7"/>
  <c r="BP35" i="7" s="1"/>
  <c r="BM31" i="7"/>
  <c r="BM35" i="7" s="1"/>
  <c r="BJ31" i="7"/>
  <c r="BG31" i="7"/>
  <c r="BD31" i="7"/>
  <c r="BD35" i="7" s="1"/>
  <c r="BA31" i="7"/>
  <c r="BA35" i="7" s="1"/>
  <c r="AX31" i="7"/>
  <c r="AX35" i="7" s="1"/>
  <c r="AU31" i="7"/>
  <c r="AR31" i="7"/>
  <c r="AR35" i="7" s="1"/>
  <c r="AO31" i="7"/>
  <c r="AL31" i="7"/>
  <c r="AL35" i="7"/>
  <c r="AI31" i="7"/>
  <c r="AI35" i="7"/>
  <c r="AF31" i="7"/>
  <c r="AF35" i="7" s="1"/>
  <c r="AC31" i="7"/>
  <c r="AC35" i="7" s="1"/>
  <c r="Z31" i="7"/>
  <c r="W31" i="7"/>
  <c r="T31" i="7"/>
  <c r="T35" i="7" s="1"/>
  <c r="Q31" i="7"/>
  <c r="Q35" i="7"/>
  <c r="N31" i="7"/>
  <c r="N35" i="7" s="1"/>
  <c r="K31" i="7"/>
  <c r="H31" i="7"/>
  <c r="H35" i="7" s="1"/>
  <c r="E28" i="7"/>
  <c r="C28" i="7"/>
  <c r="E27" i="7"/>
  <c r="C27" i="7"/>
  <c r="CA26" i="7"/>
  <c r="BZ26" i="7"/>
  <c r="BX26" i="7"/>
  <c r="BW26" i="7"/>
  <c r="BU26" i="7"/>
  <c r="BT26" i="7"/>
  <c r="BR26" i="7"/>
  <c r="BQ26" i="7"/>
  <c r="BP26" i="7"/>
  <c r="BO26" i="7"/>
  <c r="BN26" i="7"/>
  <c r="BL26" i="7"/>
  <c r="BK26" i="7"/>
  <c r="BI26" i="7"/>
  <c r="BH26" i="7"/>
  <c r="BF26" i="7"/>
  <c r="BE26" i="7"/>
  <c r="BC26" i="7"/>
  <c r="BB26" i="7"/>
  <c r="AZ26" i="7"/>
  <c r="AY26" i="7"/>
  <c r="AX26" i="7"/>
  <c r="AW26" i="7"/>
  <c r="AV26" i="7"/>
  <c r="AT26" i="7"/>
  <c r="AS26" i="7"/>
  <c r="AQ26" i="7"/>
  <c r="AP26" i="7"/>
  <c r="AN26" i="7"/>
  <c r="AM26" i="7"/>
  <c r="AK26" i="7"/>
  <c r="AJ26" i="7"/>
  <c r="AH26" i="7"/>
  <c r="AG26" i="7"/>
  <c r="AE26" i="7"/>
  <c r="AD26" i="7"/>
  <c r="AB26" i="7"/>
  <c r="AA26" i="7"/>
  <c r="Z26" i="7"/>
  <c r="Y26" i="7"/>
  <c r="X26" i="7"/>
  <c r="V26" i="7"/>
  <c r="U26" i="7"/>
  <c r="S26" i="7"/>
  <c r="R26" i="7"/>
  <c r="P26" i="7"/>
  <c r="O26" i="7"/>
  <c r="M26" i="7"/>
  <c r="L26" i="7"/>
  <c r="J26" i="7"/>
  <c r="I26" i="7"/>
  <c r="CA25" i="7"/>
  <c r="BZ25" i="7"/>
  <c r="BX25" i="7"/>
  <c r="BW25" i="7"/>
  <c r="BV25" i="7"/>
  <c r="BU25" i="7"/>
  <c r="BT25" i="7"/>
  <c r="BR25" i="7"/>
  <c r="BQ25" i="7"/>
  <c r="BO25" i="7"/>
  <c r="BN25" i="7"/>
  <c r="BL25" i="7"/>
  <c r="BK25" i="7"/>
  <c r="BI25" i="7"/>
  <c r="BH25" i="7"/>
  <c r="BF25" i="7"/>
  <c r="BE25" i="7"/>
  <c r="BC25" i="7"/>
  <c r="BB25" i="7"/>
  <c r="AZ25" i="7"/>
  <c r="AY25" i="7"/>
  <c r="AW25" i="7"/>
  <c r="AV25" i="7"/>
  <c r="AT25" i="7"/>
  <c r="AS25" i="7"/>
  <c r="AQ25" i="7"/>
  <c r="AP25" i="7"/>
  <c r="AN25" i="7"/>
  <c r="AM25" i="7"/>
  <c r="AK25" i="7"/>
  <c r="AJ25" i="7"/>
  <c r="AH25" i="7"/>
  <c r="AG25" i="7"/>
  <c r="AE25" i="7"/>
  <c r="AD25" i="7"/>
  <c r="AB25" i="7"/>
  <c r="AA25" i="7"/>
  <c r="Y25" i="7"/>
  <c r="X25" i="7"/>
  <c r="V25" i="7"/>
  <c r="U25" i="7"/>
  <c r="S25" i="7"/>
  <c r="R25" i="7"/>
  <c r="P25" i="7"/>
  <c r="O25" i="7"/>
  <c r="M25" i="7"/>
  <c r="L25" i="7"/>
  <c r="J25" i="7"/>
  <c r="I25" i="7"/>
  <c r="CC23" i="7"/>
  <c r="CB23" i="7"/>
  <c r="BY23" i="7"/>
  <c r="BV23" i="7"/>
  <c r="BS23" i="7"/>
  <c r="BP23" i="7"/>
  <c r="BM23" i="7"/>
  <c r="BJ23" i="7"/>
  <c r="BG23" i="7"/>
  <c r="BD23" i="7"/>
  <c r="BA23" i="7"/>
  <c r="AX23" i="7"/>
  <c r="AU23" i="7"/>
  <c r="AR23" i="7"/>
  <c r="AO23" i="7"/>
  <c r="AL23" i="7"/>
  <c r="AI23" i="7"/>
  <c r="AF23" i="7"/>
  <c r="AC23" i="7"/>
  <c r="Z23" i="7"/>
  <c r="W23" i="7"/>
  <c r="T23" i="7"/>
  <c r="Q23" i="7"/>
  <c r="N23" i="7"/>
  <c r="K23" i="7"/>
  <c r="H23" i="7"/>
  <c r="CC21" i="7"/>
  <c r="CB21" i="7"/>
  <c r="BY21" i="7"/>
  <c r="BV21" i="7"/>
  <c r="BS21" i="7"/>
  <c r="BP21" i="7"/>
  <c r="BM21" i="7"/>
  <c r="BJ21" i="7"/>
  <c r="BG21" i="7"/>
  <c r="BD21" i="7"/>
  <c r="BA21" i="7"/>
  <c r="AX21" i="7"/>
  <c r="AU21" i="7"/>
  <c r="AR21" i="7"/>
  <c r="AO21" i="7"/>
  <c r="AL21" i="7"/>
  <c r="AI21" i="7"/>
  <c r="AF21" i="7"/>
  <c r="AC21" i="7"/>
  <c r="Z21" i="7"/>
  <c r="W21" i="7"/>
  <c r="T21" i="7"/>
  <c r="Q21" i="7"/>
  <c r="N21" i="7"/>
  <c r="K21" i="7"/>
  <c r="H21" i="7"/>
  <c r="CC15" i="7"/>
  <c r="CB15" i="7"/>
  <c r="BY15" i="7"/>
  <c r="BV15" i="7"/>
  <c r="BS15" i="7"/>
  <c r="BP15" i="7"/>
  <c r="BM15" i="7"/>
  <c r="BJ15" i="7"/>
  <c r="BG15" i="7"/>
  <c r="BD15" i="7"/>
  <c r="BA15" i="7"/>
  <c r="AX15" i="7"/>
  <c r="AU15" i="7"/>
  <c r="AR15" i="7"/>
  <c r="AO15" i="7"/>
  <c r="AL15" i="7"/>
  <c r="AI15" i="7"/>
  <c r="AF15" i="7"/>
  <c r="AC15" i="7"/>
  <c r="Z15" i="7"/>
  <c r="W15" i="7"/>
  <c r="T15" i="7"/>
  <c r="Q15" i="7"/>
  <c r="N15" i="7"/>
  <c r="K15" i="7"/>
  <c r="H15" i="7"/>
  <c r="CC14" i="7"/>
  <c r="CB14" i="7"/>
  <c r="BY14" i="7"/>
  <c r="BV14" i="7"/>
  <c r="BS14" i="7"/>
  <c r="BP14" i="7"/>
  <c r="BM14" i="7"/>
  <c r="BJ14" i="7"/>
  <c r="BG14" i="7"/>
  <c r="BD14" i="7"/>
  <c r="BA14" i="7"/>
  <c r="AX14" i="7"/>
  <c r="AU14" i="7"/>
  <c r="AR14" i="7"/>
  <c r="AO14" i="7"/>
  <c r="AL14" i="7"/>
  <c r="AI14" i="7"/>
  <c r="AF14" i="7"/>
  <c r="AC14" i="7"/>
  <c r="Z14" i="7"/>
  <c r="W14" i="7"/>
  <c r="T14" i="7"/>
  <c r="Q14" i="7"/>
  <c r="N14" i="7"/>
  <c r="K14" i="7"/>
  <c r="H14" i="7"/>
  <c r="CC8" i="7"/>
  <c r="CB8" i="7"/>
  <c r="BY8" i="7"/>
  <c r="BY26" i="7" s="1"/>
  <c r="BV8" i="7"/>
  <c r="BV26" i="7"/>
  <c r="BS8" i="7"/>
  <c r="BS26" i="7"/>
  <c r="BP8" i="7"/>
  <c r="BM8" i="7"/>
  <c r="BM26" i="7"/>
  <c r="BJ8" i="7"/>
  <c r="BJ26" i="7" s="1"/>
  <c r="BG8" i="7"/>
  <c r="BG26" i="7"/>
  <c r="BD8" i="7"/>
  <c r="BD26" i="7" s="1"/>
  <c r="BA8" i="7"/>
  <c r="BA26" i="7" s="1"/>
  <c r="AX8" i="7"/>
  <c r="AU8" i="7"/>
  <c r="AU26" i="7" s="1"/>
  <c r="AR8" i="7"/>
  <c r="AR26" i="7" s="1"/>
  <c r="AO8" i="7"/>
  <c r="AO26" i="7" s="1"/>
  <c r="AL8" i="7"/>
  <c r="AL26" i="7" s="1"/>
  <c r="AI8" i="7"/>
  <c r="AI26" i="7" s="1"/>
  <c r="AF8" i="7"/>
  <c r="AF26" i="7" s="1"/>
  <c r="AC8" i="7"/>
  <c r="AC26" i="7" s="1"/>
  <c r="Z8" i="7"/>
  <c r="W8" i="7"/>
  <c r="W26" i="7" s="1"/>
  <c r="T8" i="7"/>
  <c r="T26" i="7"/>
  <c r="Q8" i="7"/>
  <c r="Q26" i="7" s="1"/>
  <c r="N8" i="7"/>
  <c r="N26" i="7" s="1"/>
  <c r="K8" i="7"/>
  <c r="K26" i="7"/>
  <c r="H8" i="7"/>
  <c r="H26" i="7" s="1"/>
  <c r="CC7" i="7"/>
  <c r="CB7" i="7"/>
  <c r="BY7" i="7"/>
  <c r="BY25" i="7" s="1"/>
  <c r="BV7" i="7"/>
  <c r="BS7" i="7"/>
  <c r="BS25" i="7" s="1"/>
  <c r="BP7" i="7"/>
  <c r="BP25" i="7" s="1"/>
  <c r="BM7" i="7"/>
  <c r="BM25" i="7" s="1"/>
  <c r="BJ7" i="7"/>
  <c r="BJ25" i="7"/>
  <c r="BG7" i="7"/>
  <c r="BG25" i="7" s="1"/>
  <c r="BD7" i="7"/>
  <c r="BD25" i="7" s="1"/>
  <c r="BA7" i="7"/>
  <c r="BA25" i="7"/>
  <c r="AX7" i="7"/>
  <c r="AX25" i="7" s="1"/>
  <c r="AU7" i="7"/>
  <c r="AU25" i="7" s="1"/>
  <c r="AR7" i="7"/>
  <c r="AR25" i="7" s="1"/>
  <c r="AO7" i="7"/>
  <c r="AO25" i="7"/>
  <c r="AL7" i="7"/>
  <c r="AL25" i="7" s="1"/>
  <c r="AI7" i="7"/>
  <c r="AI25" i="7" s="1"/>
  <c r="AF7" i="7"/>
  <c r="AF25" i="7" s="1"/>
  <c r="AC7" i="7"/>
  <c r="AC25" i="7"/>
  <c r="Z7" i="7"/>
  <c r="Z25" i="7"/>
  <c r="W7" i="7"/>
  <c r="W25" i="7" s="1"/>
  <c r="T7" i="7"/>
  <c r="T25" i="7" s="1"/>
  <c r="Q7" i="7"/>
  <c r="Q25" i="7"/>
  <c r="N7" i="7"/>
  <c r="N25" i="7" s="1"/>
  <c r="K7" i="7"/>
  <c r="K25" i="7" s="1"/>
  <c r="H7" i="7"/>
  <c r="H25" i="7"/>
  <c r="AI14" i="9"/>
  <c r="Q25" i="8"/>
  <c r="Q27" i="8"/>
  <c r="Q29" i="8" s="1"/>
  <c r="R30" i="8" s="1"/>
  <c r="AW27" i="8"/>
  <c r="AW29" i="8" s="1"/>
  <c r="AW25" i="8"/>
  <c r="BS25" i="8"/>
  <c r="BS27" i="8"/>
  <c r="BS29" i="8" s="1"/>
  <c r="AN8" i="8"/>
  <c r="AL12" i="8"/>
  <c r="AN36" i="9"/>
  <c r="AK38" i="9"/>
  <c r="AK40" i="9" s="1"/>
  <c r="BY14" i="9"/>
  <c r="AQ38" i="9"/>
  <c r="AQ40" i="9"/>
  <c r="Z21" i="10"/>
  <c r="BA21" i="10"/>
  <c r="BB8" i="10"/>
  <c r="W23" i="10"/>
  <c r="AY24" i="9"/>
  <c r="AX36" i="9"/>
  <c r="AX8" i="9"/>
  <c r="AP15" i="10"/>
  <c r="V8" i="8"/>
  <c r="T12" i="8"/>
  <c r="BX8" i="8"/>
  <c r="BV12" i="8"/>
  <c r="AE42" i="9"/>
  <c r="AC14" i="9"/>
  <c r="BO40" i="9"/>
  <c r="BM14" i="9"/>
  <c r="AR21" i="10"/>
  <c r="BS21" i="10"/>
  <c r="BT8" i="10"/>
  <c r="Q23" i="10"/>
  <c r="AI23" i="10"/>
  <c r="P8" i="10"/>
  <c r="AF31" i="10"/>
  <c r="AH8" i="10"/>
  <c r="BP31" i="10"/>
  <c r="BR8" i="10"/>
  <c r="O24" i="9"/>
  <c r="N34" i="9"/>
  <c r="N36" i="9" s="1"/>
  <c r="N8" i="9"/>
  <c r="N24" i="9" s="1"/>
  <c r="AF8" i="9"/>
  <c r="AF24" i="9" s="1"/>
  <c r="BP34" i="9"/>
  <c r="BP36" i="9" s="1"/>
  <c r="BP8" i="9"/>
  <c r="BB26" i="11"/>
  <c r="BA51" i="11"/>
  <c r="BA53" i="11" s="1"/>
  <c r="BA15" i="11"/>
  <c r="J34" i="9"/>
  <c r="H34" i="9"/>
  <c r="H36" i="9"/>
  <c r="H8" i="9"/>
  <c r="AA24" i="9"/>
  <c r="Z34" i="9"/>
  <c r="Z36" i="9" s="1"/>
  <c r="AS24" i="9"/>
  <c r="AR34" i="9"/>
  <c r="AR36" i="9"/>
  <c r="AR42" i="9"/>
  <c r="AR8" i="9"/>
  <c r="BK24" i="9"/>
  <c r="BL34" i="9"/>
  <c r="BJ34" i="9"/>
  <c r="BJ36" i="9" s="1"/>
  <c r="BJ42" i="9" s="1"/>
  <c r="BJ8" i="9"/>
  <c r="BJ24" i="9"/>
  <c r="I14" i="9"/>
  <c r="I24" i="9" s="1"/>
  <c r="CB21" i="9"/>
  <c r="H21" i="9"/>
  <c r="AZ34" i="9"/>
  <c r="AZ36" i="9" s="1"/>
  <c r="AB26" i="11"/>
  <c r="Z8" i="11"/>
  <c r="BY33" i="10"/>
  <c r="BZ15" i="10"/>
  <c r="L26" i="11"/>
  <c r="AE8" i="8"/>
  <c r="BD12" i="8"/>
  <c r="AK36" i="9"/>
  <c r="AT36" i="9"/>
  <c r="BL36" i="9"/>
  <c r="BL42" i="9"/>
  <c r="AN40" i="9"/>
  <c r="BA14" i="9"/>
  <c r="BC40" i="9"/>
  <c r="CA38" i="9"/>
  <c r="CA40" i="9"/>
  <c r="H21" i="10"/>
  <c r="AI21" i="10"/>
  <c r="AJ8" i="10"/>
  <c r="BK8" i="10"/>
  <c r="BJ21" i="10"/>
  <c r="K23" i="10"/>
  <c r="AC23" i="10"/>
  <c r="AE15" i="10"/>
  <c r="AE26" i="10" s="1"/>
  <c r="AX23" i="10"/>
  <c r="BG33" i="10"/>
  <c r="BH15" i="10"/>
  <c r="CA26" i="11"/>
  <c r="CA47" i="11"/>
  <c r="CA49" i="11" s="1"/>
  <c r="BR27" i="8"/>
  <c r="BR29" i="8"/>
  <c r="CA27" i="8"/>
  <c r="CA29" i="8" s="1"/>
  <c r="AP32" i="8" s="1"/>
  <c r="V34" i="9"/>
  <c r="U24" i="9"/>
  <c r="T34" i="9"/>
  <c r="T36" i="9"/>
  <c r="T24" i="9"/>
  <c r="AN34" i="9"/>
  <c r="AM24" i="9"/>
  <c r="AL34" i="9"/>
  <c r="AL36" i="9" s="1"/>
  <c r="AL24" i="9"/>
  <c r="BF34" i="9"/>
  <c r="BF36" i="9" s="1"/>
  <c r="BD8" i="9"/>
  <c r="BX34" i="9"/>
  <c r="BX36" i="9" s="1"/>
  <c r="BW24" i="9"/>
  <c r="BV34" i="9"/>
  <c r="BV36" i="9" s="1"/>
  <c r="BV8" i="9"/>
  <c r="K14" i="9"/>
  <c r="P34" i="9"/>
  <c r="P36" i="9"/>
  <c r="P42" i="9" s="1"/>
  <c r="BR34" i="9"/>
  <c r="BR36" i="9" s="1"/>
  <c r="BI8" i="10"/>
  <c r="CB21" i="10"/>
  <c r="CB23" i="10"/>
  <c r="BY23" i="10"/>
  <c r="AQ47" i="11"/>
  <c r="AQ49" i="11"/>
  <c r="J25" i="8"/>
  <c r="J27" i="8"/>
  <c r="J29" i="8" s="1"/>
  <c r="S25" i="8"/>
  <c r="S27" i="8"/>
  <c r="S29" i="8"/>
  <c r="AT25" i="8"/>
  <c r="AT27" i="8"/>
  <c r="AT29" i="8"/>
  <c r="BL25" i="8"/>
  <c r="BL27" i="8" s="1"/>
  <c r="BL29" i="8" s="1"/>
  <c r="BU25" i="8"/>
  <c r="AR27" i="8"/>
  <c r="AR29" i="8"/>
  <c r="I32" i="8" s="1"/>
  <c r="J24" i="9"/>
  <c r="V24" i="9"/>
  <c r="AB24" i="9"/>
  <c r="AT24" i="9"/>
  <c r="BF24" i="9"/>
  <c r="BL24" i="9"/>
  <c r="BX24" i="9"/>
  <c r="W34" i="9"/>
  <c r="AO34" i="9"/>
  <c r="N38" i="9"/>
  <c r="N40" i="9" s="1"/>
  <c r="AF38" i="9"/>
  <c r="AO38" i="9"/>
  <c r="AO40" i="9"/>
  <c r="AX38" i="9"/>
  <c r="AX40" i="9" s="1"/>
  <c r="AX42" i="9" s="1"/>
  <c r="BG38" i="9"/>
  <c r="BY38" i="9"/>
  <c r="BY40" i="9"/>
  <c r="W31" i="10"/>
  <c r="W31" i="11"/>
  <c r="AO31" i="11"/>
  <c r="BG31" i="11"/>
  <c r="BY31" i="11"/>
  <c r="Q31" i="11"/>
  <c r="AI31" i="11"/>
  <c r="BA31" i="11"/>
  <c r="BS31" i="11"/>
  <c r="AD24" i="9"/>
  <c r="AJ24" i="9"/>
  <c r="BH24" i="9"/>
  <c r="BN24" i="9"/>
  <c r="BT24" i="9"/>
  <c r="Q34" i="9"/>
  <c r="AI34" i="9"/>
  <c r="AI36" i="9" s="1"/>
  <c r="Z38" i="9"/>
  <c r="AI38" i="9"/>
  <c r="AR38" i="9"/>
  <c r="BA38" i="9"/>
  <c r="BJ38" i="9"/>
  <c r="BJ40" i="9"/>
  <c r="BS38" i="9"/>
  <c r="Z40" i="9"/>
  <c r="AR40" i="9"/>
  <c r="BA40" i="9"/>
  <c r="BB15" i="10"/>
  <c r="BT15" i="10"/>
  <c r="N25" i="8"/>
  <c r="N27" i="8" s="1"/>
  <c r="N29" i="8" s="1"/>
  <c r="W25" i="8"/>
  <c r="W27" i="8" s="1"/>
  <c r="W29" i="8" s="1"/>
  <c r="AX25" i="8"/>
  <c r="AX27" i="8"/>
  <c r="AX29" i="8" s="1"/>
  <c r="BG25" i="8"/>
  <c r="BY25" i="8"/>
  <c r="K8" i="9"/>
  <c r="Q8" i="9"/>
  <c r="AC8" i="9"/>
  <c r="AI24" i="9"/>
  <c r="AO8" i="9"/>
  <c r="AO24" i="9"/>
  <c r="BS8" i="9"/>
  <c r="CC21" i="9"/>
  <c r="M24" i="9"/>
  <c r="AE24" i="9"/>
  <c r="AK24" i="9"/>
  <c r="AW24" i="9"/>
  <c r="BO24" i="9"/>
  <c r="J36" i="9"/>
  <c r="AH36" i="10"/>
  <c r="AH38" i="10" s="1"/>
  <c r="AM26" i="10"/>
  <c r="BP36" i="10"/>
  <c r="BQ26" i="10"/>
  <c r="S26" i="12"/>
  <c r="P25" i="8"/>
  <c r="P27" i="8"/>
  <c r="P29" i="8" s="1"/>
  <c r="Y25" i="8"/>
  <c r="Y27" i="8"/>
  <c r="Y29" i="8" s="1"/>
  <c r="X30" i="8" s="1"/>
  <c r="AZ27" i="8"/>
  <c r="AZ29" i="8"/>
  <c r="BI25" i="8"/>
  <c r="BI27" i="8" s="1"/>
  <c r="BI29" i="8" s="1"/>
  <c r="BR25" i="8"/>
  <c r="CA25" i="8"/>
  <c r="BY27" i="8"/>
  <c r="BY29" i="8" s="1"/>
  <c r="K34" i="9"/>
  <c r="K36" i="9" s="1"/>
  <c r="AC34" i="9"/>
  <c r="BM34" i="9"/>
  <c r="AC36" i="9"/>
  <c r="K38" i="9"/>
  <c r="K40" i="9" s="1"/>
  <c r="T38" i="9"/>
  <c r="T40" i="9" s="1"/>
  <c r="T42" i="9" s="1"/>
  <c r="AC38" i="9"/>
  <c r="AC40" i="9"/>
  <c r="AL38" i="9"/>
  <c r="AL40" i="9"/>
  <c r="AU38" i="9"/>
  <c r="BD38" i="9"/>
  <c r="BM38" i="9"/>
  <c r="BV38" i="9"/>
  <c r="BV40" i="9" s="1"/>
  <c r="BV42" i="9" s="1"/>
  <c r="AU40" i="9"/>
  <c r="BD40" i="9"/>
  <c r="BM40" i="9"/>
  <c r="BL26" i="11"/>
  <c r="BJ8" i="11"/>
  <c r="BJ26" i="11"/>
  <c r="BJ47" i="11"/>
  <c r="BJ49" i="11"/>
  <c r="W38" i="11"/>
  <c r="AO38" i="11"/>
  <c r="BG38" i="11"/>
  <c r="BY38" i="11"/>
  <c r="Q38" i="11"/>
  <c r="AI38" i="11"/>
  <c r="BA38" i="11"/>
  <c r="BS38" i="11"/>
  <c r="AI8" i="8"/>
  <c r="BS8" i="8"/>
  <c r="V40" i="10"/>
  <c r="V42" i="10" s="1"/>
  <c r="AN40" i="10"/>
  <c r="AN42" i="10" s="1"/>
  <c r="CB15" i="11"/>
  <c r="BY51" i="11"/>
  <c r="BY53" i="11" s="1"/>
  <c r="CA51" i="11"/>
  <c r="CA53" i="11"/>
  <c r="BZ26" i="11"/>
  <c r="BY15" i="11"/>
  <c r="Q21" i="11"/>
  <c r="S8" i="11"/>
  <c r="S47" i="11" s="1"/>
  <c r="BS21" i="11"/>
  <c r="BU8" i="11"/>
  <c r="CC21" i="11"/>
  <c r="AO8" i="11"/>
  <c r="BY8" i="11"/>
  <c r="BY26" i="11" s="1"/>
  <c r="AK51" i="11"/>
  <c r="AK53" i="11" s="1"/>
  <c r="N23" i="11"/>
  <c r="P15" i="11"/>
  <c r="P26" i="11" s="1"/>
  <c r="BP23" i="11"/>
  <c r="BR15" i="11"/>
  <c r="X26" i="11"/>
  <c r="BH26" i="11"/>
  <c r="Y47" i="12"/>
  <c r="W47" i="12"/>
  <c r="W49" i="12" s="1"/>
  <c r="W15" i="12"/>
  <c r="CC23" i="12"/>
  <c r="BV23" i="12"/>
  <c r="BX15" i="12"/>
  <c r="V49" i="11"/>
  <c r="V26" i="11"/>
  <c r="AK26" i="11"/>
  <c r="BF26" i="11"/>
  <c r="AX23" i="11"/>
  <c r="AZ15" i="11"/>
  <c r="AI47" i="11"/>
  <c r="AI49" i="11"/>
  <c r="BI26" i="12"/>
  <c r="O15" i="12"/>
  <c r="N23" i="12"/>
  <c r="W8" i="11"/>
  <c r="W26" i="11"/>
  <c r="BO49" i="11"/>
  <c r="BO26" i="11"/>
  <c r="AE51" i="11"/>
  <c r="AE53" i="11"/>
  <c r="AC51" i="11"/>
  <c r="AC53" i="11" s="1"/>
  <c r="AN53" i="11"/>
  <c r="P47" i="11"/>
  <c r="P49" i="11" s="1"/>
  <c r="BI51" i="11"/>
  <c r="AE26" i="12"/>
  <c r="BI49" i="12"/>
  <c r="M26" i="13"/>
  <c r="K8" i="13"/>
  <c r="K26" i="13" s="1"/>
  <c r="J8" i="11"/>
  <c r="W51" i="11"/>
  <c r="W53" i="11" s="1"/>
  <c r="AW51" i="11"/>
  <c r="AW53" i="11"/>
  <c r="AU51" i="11"/>
  <c r="AU53" i="11"/>
  <c r="AF23" i="11"/>
  <c r="AH15" i="11"/>
  <c r="BT26" i="11"/>
  <c r="BI15" i="11"/>
  <c r="BG51" i="11"/>
  <c r="BG53" i="11" s="1"/>
  <c r="AR47" i="11"/>
  <c r="AR49" i="11" s="1"/>
  <c r="AI51" i="11"/>
  <c r="AI53" i="11"/>
  <c r="Y26" i="12"/>
  <c r="AW26" i="12"/>
  <c r="CA26" i="12"/>
  <c r="BS21" i="12"/>
  <c r="CC21" i="12"/>
  <c r="Q47" i="12"/>
  <c r="Q49" i="12" s="1"/>
  <c r="Q51" i="12" s="1"/>
  <c r="S47" i="12"/>
  <c r="S49" i="12"/>
  <c r="Q15" i="12"/>
  <c r="AN26" i="11"/>
  <c r="BC26" i="11"/>
  <c r="BX26" i="11"/>
  <c r="J53" i="11"/>
  <c r="S51" i="11"/>
  <c r="AI15" i="11"/>
  <c r="AI26" i="11"/>
  <c r="BO51" i="11"/>
  <c r="BO53" i="11" s="1"/>
  <c r="BM51" i="11"/>
  <c r="BM53" i="11"/>
  <c r="CC23" i="11"/>
  <c r="BY23" i="11"/>
  <c r="S53" i="11"/>
  <c r="S55" i="11" s="1"/>
  <c r="Y47" i="11"/>
  <c r="Y49" i="11"/>
  <c r="AQ26" i="12"/>
  <c r="AQ45" i="12"/>
  <c r="BU8" i="12"/>
  <c r="K21" i="12"/>
  <c r="L8" i="12"/>
  <c r="AU40" i="12"/>
  <c r="AV40" i="12"/>
  <c r="AV15" i="12"/>
  <c r="AV26" i="12" s="1"/>
  <c r="AU39" i="12"/>
  <c r="N47" i="11"/>
  <c r="N49" i="11" s="1"/>
  <c r="W47" i="11"/>
  <c r="AF47" i="11"/>
  <c r="AF49" i="11" s="1"/>
  <c r="AO47" i="11"/>
  <c r="BY47" i="11"/>
  <c r="W49" i="11"/>
  <c r="W55" i="11" s="1"/>
  <c r="AO49" i="11"/>
  <c r="BY49" i="11"/>
  <c r="BY55" i="11" s="1"/>
  <c r="N51" i="11"/>
  <c r="N53" i="11" s="1"/>
  <c r="AX51" i="11"/>
  <c r="AX53" i="11" s="1"/>
  <c r="S43" i="12"/>
  <c r="S45" i="12" s="1"/>
  <c r="Q43" i="12"/>
  <c r="Q45" i="12"/>
  <c r="R26" i="12"/>
  <c r="X26" i="12"/>
  <c r="Y43" i="12"/>
  <c r="Y45" i="12" s="1"/>
  <c r="Y51" i="12" s="1"/>
  <c r="W43" i="12"/>
  <c r="W45" i="12" s="1"/>
  <c r="AJ26" i="12"/>
  <c r="AP26" i="12"/>
  <c r="AQ43" i="12"/>
  <c r="AO43" i="12"/>
  <c r="AO45" i="12"/>
  <c r="AU43" i="12"/>
  <c r="AU45" i="12"/>
  <c r="BC43" i="12"/>
  <c r="BC45" i="12" s="1"/>
  <c r="BA43" i="12"/>
  <c r="BA45" i="12" s="1"/>
  <c r="BH26" i="12"/>
  <c r="BI43" i="12"/>
  <c r="BI45" i="12"/>
  <c r="BI51" i="12" s="1"/>
  <c r="BG45" i="12"/>
  <c r="BG43" i="12"/>
  <c r="BN8" i="12"/>
  <c r="BU43" i="12"/>
  <c r="BS43" i="12"/>
  <c r="BS45" i="12" s="1"/>
  <c r="AF15" i="12"/>
  <c r="AF47" i="12"/>
  <c r="AF49" i="12"/>
  <c r="BA23" i="12"/>
  <c r="AG26" i="12"/>
  <c r="Z8" i="13"/>
  <c r="AS26" i="13"/>
  <c r="AF26" i="12"/>
  <c r="Y49" i="12"/>
  <c r="AI47" i="12"/>
  <c r="AI49" i="12" s="1"/>
  <c r="AK47" i="12"/>
  <c r="AK49" i="12" s="1"/>
  <c r="AI15" i="12"/>
  <c r="BG47" i="12"/>
  <c r="BG49" i="12"/>
  <c r="BG15" i="12"/>
  <c r="BV15" i="12"/>
  <c r="AN40" i="12"/>
  <c r="AN15" i="12"/>
  <c r="AN26" i="12" s="1"/>
  <c r="AL39" i="12"/>
  <c r="AL40" i="12"/>
  <c r="CC39" i="12"/>
  <c r="AB47" i="11"/>
  <c r="AB49" i="11"/>
  <c r="AK47" i="11"/>
  <c r="AK49" i="11" s="1"/>
  <c r="AT47" i="11"/>
  <c r="AT49" i="11"/>
  <c r="BC47" i="11"/>
  <c r="BC49" i="11" s="1"/>
  <c r="BL47" i="11"/>
  <c r="BL49" i="11"/>
  <c r="J43" i="12"/>
  <c r="H43" i="12"/>
  <c r="H45" i="12" s="1"/>
  <c r="H51" i="12" s="1"/>
  <c r="P43" i="12"/>
  <c r="P45" i="12"/>
  <c r="N43" i="12"/>
  <c r="N45" i="12" s="1"/>
  <c r="U8" i="12"/>
  <c r="AB43" i="12"/>
  <c r="AB45" i="12" s="1"/>
  <c r="AB51" i="12" s="1"/>
  <c r="Z43" i="12"/>
  <c r="Z45" i="12"/>
  <c r="AH43" i="12"/>
  <c r="AF43" i="12"/>
  <c r="AF45" i="12" s="1"/>
  <c r="AM8" i="12"/>
  <c r="BD43" i="12"/>
  <c r="BD45" i="12" s="1"/>
  <c r="BL43" i="12"/>
  <c r="BL45" i="12"/>
  <c r="BJ43" i="12"/>
  <c r="BJ45" i="12" s="1"/>
  <c r="H47" i="12"/>
  <c r="H49" i="12" s="1"/>
  <c r="J47" i="12"/>
  <c r="J49" i="12" s="1"/>
  <c r="Z47" i="12"/>
  <c r="Z49" i="12" s="1"/>
  <c r="Z51" i="12" s="1"/>
  <c r="AB47" i="12"/>
  <c r="AB49" i="12" s="1"/>
  <c r="Z15" i="12"/>
  <c r="Z26" i="12" s="1"/>
  <c r="BY47" i="12"/>
  <c r="BY49" i="12" s="1"/>
  <c r="CA47" i="12"/>
  <c r="CA49" i="12"/>
  <c r="BY15" i="12"/>
  <c r="BQ15" i="12"/>
  <c r="BP23" i="12"/>
  <c r="AI40" i="12"/>
  <c r="BA40" i="12"/>
  <c r="BS40" i="12"/>
  <c r="AZ49" i="12"/>
  <c r="AW43" i="12"/>
  <c r="AW45" i="12"/>
  <c r="K47" i="11"/>
  <c r="T47" i="11"/>
  <c r="T49" i="11" s="1"/>
  <c r="T55" i="11" s="1"/>
  <c r="AL47" i="11"/>
  <c r="AL49" i="11"/>
  <c r="AL55" i="11" s="1"/>
  <c r="BD47" i="11"/>
  <c r="BM47" i="11"/>
  <c r="BV47" i="11"/>
  <c r="K49" i="11"/>
  <c r="BD49" i="11"/>
  <c r="BM49" i="11"/>
  <c r="BV49" i="11"/>
  <c r="BV55" i="11"/>
  <c r="T51" i="11"/>
  <c r="AL51" i="11"/>
  <c r="BD51" i="11"/>
  <c r="BD53" i="11" s="1"/>
  <c r="BV51" i="11"/>
  <c r="BV53" i="11" s="1"/>
  <c r="T53" i="11"/>
  <c r="AL53" i="11"/>
  <c r="J45" i="12"/>
  <c r="AH45" i="12"/>
  <c r="AE47" i="12"/>
  <c r="AC47" i="12"/>
  <c r="AC49" i="12"/>
  <c r="AC15" i="12"/>
  <c r="BO47" i="12"/>
  <c r="BO49" i="12"/>
  <c r="BM47" i="12"/>
  <c r="BM49" i="12"/>
  <c r="BM15" i="12"/>
  <c r="I26" i="12"/>
  <c r="AA26" i="12"/>
  <c r="AS26" i="12"/>
  <c r="P40" i="12"/>
  <c r="P15" i="12"/>
  <c r="N39" i="12"/>
  <c r="N40" i="12"/>
  <c r="BF43" i="12"/>
  <c r="BF45" i="12" s="1"/>
  <c r="AH47" i="12"/>
  <c r="AH49" i="12" s="1"/>
  <c r="K8" i="11"/>
  <c r="BM8" i="11"/>
  <c r="U26" i="11"/>
  <c r="AM26" i="11"/>
  <c r="BE26" i="11"/>
  <c r="BW26" i="11"/>
  <c r="Q8" i="12"/>
  <c r="Q26" i="12"/>
  <c r="W8" i="12"/>
  <c r="W26" i="12" s="1"/>
  <c r="AO8" i="12"/>
  <c r="AU8" i="12"/>
  <c r="BA8" i="12"/>
  <c r="BG8" i="12"/>
  <c r="BG26" i="12" s="1"/>
  <c r="BS8" i="12"/>
  <c r="V47" i="12"/>
  <c r="V49" i="12"/>
  <c r="T15" i="12"/>
  <c r="AE49" i="12"/>
  <c r="AQ47" i="12"/>
  <c r="AQ49" i="12" s="1"/>
  <c r="AO47" i="12"/>
  <c r="AO49" i="12" s="1"/>
  <c r="AO15" i="12"/>
  <c r="BB15" i="12"/>
  <c r="BB26" i="12"/>
  <c r="CB23" i="12"/>
  <c r="AB26" i="12"/>
  <c r="Y53" i="13"/>
  <c r="W8" i="13"/>
  <c r="X26" i="13"/>
  <c r="BC15" i="13"/>
  <c r="BA23" i="13"/>
  <c r="CB39" i="12"/>
  <c r="AT47" i="12"/>
  <c r="AT49" i="12" s="1"/>
  <c r="AW26" i="13"/>
  <c r="BC8" i="13"/>
  <c r="T21" i="13"/>
  <c r="V8" i="13"/>
  <c r="AR21" i="13"/>
  <c r="AT8" i="13"/>
  <c r="AR51" i="13" s="1"/>
  <c r="AR53" i="13" s="1"/>
  <c r="AR59" i="13" s="1"/>
  <c r="AR8" i="13"/>
  <c r="AR26" i="13" s="1"/>
  <c r="AO23" i="13"/>
  <c r="AQ15" i="13"/>
  <c r="AO55" i="13"/>
  <c r="AO57" i="13" s="1"/>
  <c r="AA26" i="13"/>
  <c r="AB51" i="13"/>
  <c r="AB53" i="13"/>
  <c r="Z51" i="13"/>
  <c r="Z53" i="13"/>
  <c r="CB31" i="13"/>
  <c r="BW8" i="13"/>
  <c r="BX15" i="13"/>
  <c r="AX47" i="12"/>
  <c r="AX49" i="12"/>
  <c r="BU53" i="13"/>
  <c r="BU26" i="13"/>
  <c r="AW55" i="13"/>
  <c r="AW57" i="13" s="1"/>
  <c r="AU55" i="13"/>
  <c r="AU57" i="13" s="1"/>
  <c r="AU59" i="13" s="1"/>
  <c r="AU15" i="13"/>
  <c r="AU26" i="13"/>
  <c r="J15" i="13"/>
  <c r="J55" i="13" s="1"/>
  <c r="H23" i="13"/>
  <c r="AF23" i="13"/>
  <c r="AH15" i="13"/>
  <c r="AH26" i="13" s="1"/>
  <c r="U26" i="13"/>
  <c r="AX15" i="12"/>
  <c r="BS23" i="12"/>
  <c r="Z39" i="12"/>
  <c r="Z40" i="12" s="1"/>
  <c r="AX39" i="12"/>
  <c r="AX40" i="12" s="1"/>
  <c r="BK40" i="12"/>
  <c r="BO53" i="13"/>
  <c r="BO55" i="13"/>
  <c r="BO57" i="13"/>
  <c r="BM55" i="13"/>
  <c r="BM57" i="13"/>
  <c r="BM15" i="13"/>
  <c r="BM26" i="13"/>
  <c r="AL21" i="13"/>
  <c r="AN8" i="13"/>
  <c r="AN51" i="13" s="1"/>
  <c r="BV21" i="13"/>
  <c r="BX8" i="13"/>
  <c r="AM26" i="13"/>
  <c r="BK26" i="13"/>
  <c r="BL51" i="13"/>
  <c r="BL53" i="13" s="1"/>
  <c r="BJ51" i="13"/>
  <c r="BJ53" i="13"/>
  <c r="CC31" i="13"/>
  <c r="BR8" i="13"/>
  <c r="AT55" i="13"/>
  <c r="AT57" i="13" s="1"/>
  <c r="AR55" i="13"/>
  <c r="AR57" i="13" s="1"/>
  <c r="T40" i="13"/>
  <c r="AR47" i="12"/>
  <c r="AR49" i="12" s="1"/>
  <c r="BX47" i="12"/>
  <c r="H15" i="13"/>
  <c r="H55" i="13"/>
  <c r="H57" i="13" s="1"/>
  <c r="S55" i="13"/>
  <c r="S57" i="13"/>
  <c r="Q55" i="13"/>
  <c r="Q57" i="13"/>
  <c r="BA55" i="13"/>
  <c r="BA57" i="13" s="1"/>
  <c r="BG23" i="13"/>
  <c r="BI15" i="13"/>
  <c r="BI26" i="13" s="1"/>
  <c r="AQ26" i="13"/>
  <c r="AE26" i="13"/>
  <c r="BB26" i="13"/>
  <c r="BU55" i="13"/>
  <c r="BU57" i="13" s="1"/>
  <c r="BS15" i="13"/>
  <c r="BS26" i="13" s="1"/>
  <c r="BS55" i="13"/>
  <c r="BS57" i="13"/>
  <c r="CB15" i="13"/>
  <c r="AB15" i="13"/>
  <c r="Z55" i="13" s="1"/>
  <c r="Z57" i="13" s="1"/>
  <c r="Z23" i="13"/>
  <c r="BL15" i="13"/>
  <c r="BJ23" i="13"/>
  <c r="BO26" i="13"/>
  <c r="BE26" i="13"/>
  <c r="AK51" i="13"/>
  <c r="AK53" i="13"/>
  <c r="AI51" i="13"/>
  <c r="AI53" i="13" s="1"/>
  <c r="BA51" i="13"/>
  <c r="BA53" i="13" s="1"/>
  <c r="BS51" i="13"/>
  <c r="BS53" i="13"/>
  <c r="BS59" i="13" s="1"/>
  <c r="I26" i="13"/>
  <c r="P51" i="13"/>
  <c r="P53" i="13" s="1"/>
  <c r="P59" i="13" s="1"/>
  <c r="N53" i="13"/>
  <c r="N51" i="13"/>
  <c r="O26" i="13"/>
  <c r="AH51" i="13"/>
  <c r="AH53" i="13"/>
  <c r="AF51" i="13"/>
  <c r="AF53" i="13"/>
  <c r="AG26" i="13"/>
  <c r="AY26" i="13"/>
  <c r="BR51" i="13"/>
  <c r="BP51" i="13"/>
  <c r="BP53" i="13" s="1"/>
  <c r="BQ26" i="13"/>
  <c r="M55" i="13"/>
  <c r="M57" i="13" s="1"/>
  <c r="K55" i="13"/>
  <c r="K57" i="13"/>
  <c r="AQ55" i="13"/>
  <c r="AI23" i="13"/>
  <c r="BT26" i="13"/>
  <c r="N23" i="13"/>
  <c r="P15" i="13"/>
  <c r="P26" i="13" s="1"/>
  <c r="BP23" i="13"/>
  <c r="BR15" i="13"/>
  <c r="BP15" i="13" s="1"/>
  <c r="BP26" i="13" s="1"/>
  <c r="AN40" i="13"/>
  <c r="AN15" i="13"/>
  <c r="AL55" i="13" s="1"/>
  <c r="AL57" i="13" s="1"/>
  <c r="CB40" i="13"/>
  <c r="K48" i="13"/>
  <c r="K40" i="13" s="1"/>
  <c r="AC48" i="13"/>
  <c r="AC40" i="13" s="1"/>
  <c r="AU48" i="13"/>
  <c r="AU40" i="13" s="1"/>
  <c r="BM48" i="13"/>
  <c r="BM40" i="13" s="1"/>
  <c r="M51" i="13"/>
  <c r="M53" i="13" s="1"/>
  <c r="M59" i="13"/>
  <c r="Y51" i="13"/>
  <c r="W51" i="13"/>
  <c r="W53" i="13" s="1"/>
  <c r="AE51" i="13"/>
  <c r="AE53" i="13" s="1"/>
  <c r="AE59" i="13" s="1"/>
  <c r="AQ51" i="13"/>
  <c r="AQ53" i="13"/>
  <c r="AO51" i="13"/>
  <c r="AO53" i="13" s="1"/>
  <c r="AW51" i="13"/>
  <c r="AW53" i="13"/>
  <c r="AW59" i="13" s="1"/>
  <c r="BI51" i="13"/>
  <c r="BI53" i="13"/>
  <c r="BG51" i="13"/>
  <c r="BG53" i="13" s="1"/>
  <c r="BO51" i="13"/>
  <c r="BM53" i="13"/>
  <c r="AE55" i="13"/>
  <c r="AE57" i="13" s="1"/>
  <c r="AC55" i="13"/>
  <c r="AC57" i="13" s="1"/>
  <c r="AX23" i="13"/>
  <c r="AZ15" i="13"/>
  <c r="BN26" i="13"/>
  <c r="BZ26" i="13"/>
  <c r="K51" i="13"/>
  <c r="K53" i="13" s="1"/>
  <c r="AC51" i="13"/>
  <c r="AC53" i="13"/>
  <c r="AC59" i="13" s="1"/>
  <c r="AU51" i="13"/>
  <c r="AU53" i="13" s="1"/>
  <c r="BM51" i="13"/>
  <c r="AQ134" i="6"/>
  <c r="AO134" i="6"/>
  <c r="AN134" i="6"/>
  <c r="AL134" i="6"/>
  <c r="AK134" i="6"/>
  <c r="AI134" i="6"/>
  <c r="AH134" i="6"/>
  <c r="AF134" i="6"/>
  <c r="AE134" i="6"/>
  <c r="AC134" i="6"/>
  <c r="AB134" i="6"/>
  <c r="Z134" i="6"/>
  <c r="Y134" i="6"/>
  <c r="W134" i="6"/>
  <c r="V134" i="6"/>
  <c r="T134" i="6"/>
  <c r="S134" i="6"/>
  <c r="Q134" i="6"/>
  <c r="P134" i="6"/>
  <c r="N134" i="6"/>
  <c r="M134" i="6"/>
  <c r="K134" i="6"/>
  <c r="J134" i="6"/>
  <c r="H134" i="6"/>
  <c r="AQ129" i="6"/>
  <c r="AO129" i="6"/>
  <c r="AN129" i="6"/>
  <c r="AL129" i="6"/>
  <c r="AK129" i="6"/>
  <c r="AI129" i="6"/>
  <c r="AH129" i="6"/>
  <c r="AF129" i="6"/>
  <c r="AE129" i="6"/>
  <c r="AC129" i="6"/>
  <c r="AB129" i="6"/>
  <c r="Z129" i="6"/>
  <c r="Y129" i="6"/>
  <c r="W129" i="6"/>
  <c r="V129" i="6"/>
  <c r="T129" i="6"/>
  <c r="S129" i="6"/>
  <c r="Q129" i="6"/>
  <c r="P129" i="6"/>
  <c r="N129" i="6"/>
  <c r="M129" i="6"/>
  <c r="K129" i="6"/>
  <c r="J129" i="6"/>
  <c r="H129" i="6"/>
  <c r="AQ125" i="6"/>
  <c r="AP125" i="6"/>
  <c r="AP87" i="6" s="1"/>
  <c r="AN125" i="6"/>
  <c r="AN126" i="6" s="1"/>
  <c r="AM125" i="6"/>
  <c r="AK125" i="6"/>
  <c r="AJ125" i="6"/>
  <c r="AH125" i="6"/>
  <c r="AG125" i="6"/>
  <c r="AE125" i="6"/>
  <c r="AE126" i="6" s="1"/>
  <c r="AD125" i="6"/>
  <c r="AB125" i="6"/>
  <c r="AA125" i="6"/>
  <c r="AA87" i="6" s="1"/>
  <c r="Z87" i="6" s="1"/>
  <c r="Z95" i="6" s="1"/>
  <c r="Y125" i="6"/>
  <c r="X125" i="6"/>
  <c r="X87" i="6" s="1"/>
  <c r="V125" i="6"/>
  <c r="V126" i="6" s="1"/>
  <c r="U125" i="6"/>
  <c r="S125" i="6"/>
  <c r="R125" i="6"/>
  <c r="P125" i="6"/>
  <c r="O125" i="6"/>
  <c r="O87" i="6" s="1"/>
  <c r="O95" i="6" s="1"/>
  <c r="M125" i="6"/>
  <c r="M126" i="6" s="1"/>
  <c r="L125" i="6"/>
  <c r="L126" i="6" s="1"/>
  <c r="J125" i="6"/>
  <c r="I125" i="6"/>
  <c r="AQ124" i="6"/>
  <c r="AQ126" i="6"/>
  <c r="AP124" i="6"/>
  <c r="AP79" i="6" s="1"/>
  <c r="AO79" i="6" s="1"/>
  <c r="AP126" i="6"/>
  <c r="AN124" i="6"/>
  <c r="AM124" i="6"/>
  <c r="AK124" i="6"/>
  <c r="AK126" i="6"/>
  <c r="AJ124" i="6"/>
  <c r="AJ126" i="6"/>
  <c r="AH124" i="6"/>
  <c r="AH126" i="6"/>
  <c r="AG124" i="6"/>
  <c r="AG126" i="6"/>
  <c r="AE124" i="6"/>
  <c r="AD124" i="6"/>
  <c r="AD79" i="6" s="1"/>
  <c r="AC79" i="6" s="1"/>
  <c r="AB124" i="6"/>
  <c r="AB126" i="6"/>
  <c r="AA124" i="6"/>
  <c r="AA126" i="6"/>
  <c r="Y124" i="6"/>
  <c r="Y126" i="6"/>
  <c r="X124" i="6"/>
  <c r="X79" i="6" s="1"/>
  <c r="X126" i="6"/>
  <c r="V124" i="6"/>
  <c r="U124" i="6"/>
  <c r="S124" i="6"/>
  <c r="S79" i="6" s="1"/>
  <c r="S126" i="6"/>
  <c r="R124" i="6"/>
  <c r="R126" i="6"/>
  <c r="P124" i="6"/>
  <c r="P126" i="6"/>
  <c r="O124" i="6"/>
  <c r="O126" i="6"/>
  <c r="M124" i="6"/>
  <c r="L124" i="6"/>
  <c r="J124" i="6"/>
  <c r="J126" i="6"/>
  <c r="I124" i="6"/>
  <c r="I126" i="6"/>
  <c r="AO121" i="6"/>
  <c r="AL121" i="6"/>
  <c r="AI121" i="6"/>
  <c r="AF121" i="6"/>
  <c r="AC121" i="6"/>
  <c r="Z121" i="6"/>
  <c r="W121" i="6"/>
  <c r="T121" i="6"/>
  <c r="Q121" i="6"/>
  <c r="N121" i="6"/>
  <c r="K121" i="6"/>
  <c r="H121" i="6"/>
  <c r="AO120" i="6"/>
  <c r="AO125" i="6"/>
  <c r="AO126" i="6" s="1"/>
  <c r="AL120" i="6"/>
  <c r="AL125" i="6"/>
  <c r="AI120" i="6"/>
  <c r="AF120" i="6"/>
  <c r="AC120" i="6"/>
  <c r="AC125" i="6"/>
  <c r="Z120" i="6"/>
  <c r="W120" i="6"/>
  <c r="W125" i="6"/>
  <c r="T120" i="6"/>
  <c r="T125" i="6" s="1"/>
  <c r="Q120" i="6"/>
  <c r="Q125" i="6" s="1"/>
  <c r="N120" i="6"/>
  <c r="K120" i="6"/>
  <c r="K125" i="6" s="1"/>
  <c r="H120" i="6"/>
  <c r="AO119" i="6"/>
  <c r="AL119" i="6"/>
  <c r="AI119" i="6"/>
  <c r="AI125" i="6" s="1"/>
  <c r="AF119" i="6"/>
  <c r="AF125" i="6" s="1"/>
  <c r="AC119" i="6"/>
  <c r="Z119" i="6"/>
  <c r="W119" i="6"/>
  <c r="T119" i="6"/>
  <c r="Q119" i="6"/>
  <c r="N119" i="6"/>
  <c r="N125" i="6" s="1"/>
  <c r="K119" i="6"/>
  <c r="H119" i="6"/>
  <c r="AO118" i="6"/>
  <c r="AL118" i="6"/>
  <c r="AI118" i="6"/>
  <c r="AF118" i="6"/>
  <c r="AC118" i="6"/>
  <c r="Z118" i="6"/>
  <c r="W118" i="6"/>
  <c r="T118" i="6"/>
  <c r="Q118" i="6"/>
  <c r="N118" i="6"/>
  <c r="K118" i="6"/>
  <c r="H118" i="6"/>
  <c r="AO117" i="6"/>
  <c r="AL117" i="6"/>
  <c r="AI117" i="6"/>
  <c r="AF117" i="6"/>
  <c r="AC117" i="6"/>
  <c r="Z117" i="6"/>
  <c r="W117" i="6"/>
  <c r="T117" i="6"/>
  <c r="Q117" i="6"/>
  <c r="N117" i="6"/>
  <c r="K117" i="6"/>
  <c r="H117" i="6"/>
  <c r="AO116" i="6"/>
  <c r="AL116" i="6"/>
  <c r="AI116" i="6"/>
  <c r="AF116" i="6"/>
  <c r="AC116" i="6"/>
  <c r="Z116" i="6"/>
  <c r="W116" i="6"/>
  <c r="T116" i="6"/>
  <c r="Q116" i="6"/>
  <c r="N116" i="6"/>
  <c r="K116" i="6"/>
  <c r="H116" i="6"/>
  <c r="AO115" i="6"/>
  <c r="AL115" i="6"/>
  <c r="AI115" i="6"/>
  <c r="AF115" i="6"/>
  <c r="AC115" i="6"/>
  <c r="Z115" i="6"/>
  <c r="W115" i="6"/>
  <c r="T115" i="6"/>
  <c r="Q115" i="6"/>
  <c r="N115" i="6"/>
  <c r="K115" i="6"/>
  <c r="H115" i="6"/>
  <c r="AO114" i="6"/>
  <c r="AL114" i="6"/>
  <c r="AI114" i="6"/>
  <c r="AF114" i="6"/>
  <c r="AC114" i="6"/>
  <c r="Z114" i="6"/>
  <c r="W114" i="6"/>
  <c r="T114" i="6"/>
  <c r="Q114" i="6"/>
  <c r="N114" i="6"/>
  <c r="K114" i="6"/>
  <c r="H114" i="6"/>
  <c r="AO113" i="6"/>
  <c r="AL113" i="6"/>
  <c r="AI113" i="6"/>
  <c r="AF113" i="6"/>
  <c r="AC113" i="6"/>
  <c r="Z113" i="6"/>
  <c r="W113" i="6"/>
  <c r="T113" i="6"/>
  <c r="Q113" i="6"/>
  <c r="N113" i="6"/>
  <c r="K113" i="6"/>
  <c r="H113" i="6"/>
  <c r="AO112" i="6"/>
  <c r="AL112" i="6"/>
  <c r="AI112" i="6"/>
  <c r="AF112" i="6"/>
  <c r="AC112" i="6"/>
  <c r="Z112" i="6"/>
  <c r="W112" i="6"/>
  <c r="T112" i="6"/>
  <c r="Q112" i="6"/>
  <c r="N112" i="6"/>
  <c r="K112" i="6"/>
  <c r="H112" i="6"/>
  <c r="AO111" i="6"/>
  <c r="AL111" i="6"/>
  <c r="AI111" i="6"/>
  <c r="AF111" i="6"/>
  <c r="AC111" i="6"/>
  <c r="AC124" i="6" s="1"/>
  <c r="Z111" i="6"/>
  <c r="W111" i="6"/>
  <c r="T111" i="6"/>
  <c r="Q111" i="6"/>
  <c r="N111" i="6"/>
  <c r="N124" i="6" s="1"/>
  <c r="N126" i="6" s="1"/>
  <c r="K111" i="6"/>
  <c r="H111" i="6"/>
  <c r="AO110" i="6"/>
  <c r="AO124" i="6"/>
  <c r="AL110" i="6"/>
  <c r="AL124" i="6" s="1"/>
  <c r="AL126" i="6"/>
  <c r="AI110" i="6"/>
  <c r="AI124" i="6"/>
  <c r="AI126" i="6" s="1"/>
  <c r="AF110" i="6"/>
  <c r="AC110" i="6"/>
  <c r="Z110" i="6"/>
  <c r="Z124" i="6" s="1"/>
  <c r="W110" i="6"/>
  <c r="W124" i="6" s="1"/>
  <c r="W126" i="6" s="1"/>
  <c r="T110" i="6"/>
  <c r="T124" i="6"/>
  <c r="Q110" i="6"/>
  <c r="Q124" i="6" s="1"/>
  <c r="Q126" i="6" s="1"/>
  <c r="N110" i="6"/>
  <c r="K110" i="6"/>
  <c r="K124" i="6" s="1"/>
  <c r="K126" i="6" s="1"/>
  <c r="H110" i="6"/>
  <c r="H124" i="6"/>
  <c r="N106" i="6"/>
  <c r="AQ105" i="6"/>
  <c r="AP105" i="6"/>
  <c r="AN105" i="6"/>
  <c r="AM105" i="6"/>
  <c r="AK105" i="6"/>
  <c r="AJ105" i="6"/>
  <c r="AH105" i="6"/>
  <c r="AG105" i="6"/>
  <c r="AF105" i="6"/>
  <c r="AE105" i="6"/>
  <c r="AD105" i="6"/>
  <c r="AB105" i="6"/>
  <c r="AA105" i="6"/>
  <c r="Y105" i="6"/>
  <c r="X105" i="6"/>
  <c r="V105" i="6"/>
  <c r="U105" i="6"/>
  <c r="S105" i="6"/>
  <c r="R105" i="6"/>
  <c r="P105" i="6"/>
  <c r="P106" i="6" s="1"/>
  <c r="O105" i="6"/>
  <c r="N105" i="6"/>
  <c r="M105" i="6"/>
  <c r="L105" i="6"/>
  <c r="J105" i="6"/>
  <c r="I105" i="6"/>
  <c r="AQ104" i="6"/>
  <c r="AQ106" i="6"/>
  <c r="AP104" i="6"/>
  <c r="AP106" i="6"/>
  <c r="AN104" i="6"/>
  <c r="AN106" i="6"/>
  <c r="AM104" i="6"/>
  <c r="AM106" i="6"/>
  <c r="AK104" i="6"/>
  <c r="AK106" i="6" s="1"/>
  <c r="AJ104" i="6"/>
  <c r="AJ106" i="6" s="1"/>
  <c r="AH104" i="6"/>
  <c r="AH106" i="6" s="1"/>
  <c r="AG104" i="6"/>
  <c r="AG106" i="6" s="1"/>
  <c r="AF104" i="6"/>
  <c r="AF106" i="6" s="1"/>
  <c r="AE104" i="6"/>
  <c r="AE106" i="6" s="1"/>
  <c r="AD104" i="6"/>
  <c r="AD106" i="6" s="1"/>
  <c r="AB104" i="6"/>
  <c r="AB106" i="6" s="1"/>
  <c r="AA104" i="6"/>
  <c r="AA106" i="6" s="1"/>
  <c r="Y104" i="6"/>
  <c r="Y106" i="6" s="1"/>
  <c r="X104" i="6"/>
  <c r="X106" i="6" s="1"/>
  <c r="V104" i="6"/>
  <c r="V106" i="6" s="1"/>
  <c r="U104" i="6"/>
  <c r="U106" i="6" s="1"/>
  <c r="T104" i="6"/>
  <c r="T106" i="6" s="1"/>
  <c r="S104" i="6"/>
  <c r="S106" i="6"/>
  <c r="R104" i="6"/>
  <c r="R106" i="6"/>
  <c r="P104" i="6"/>
  <c r="O104" i="6"/>
  <c r="O106" i="6"/>
  <c r="M104" i="6"/>
  <c r="M106" i="6" s="1"/>
  <c r="L104" i="6"/>
  <c r="L106" i="6" s="1"/>
  <c r="J104" i="6"/>
  <c r="J106" i="6" s="1"/>
  <c r="I104" i="6"/>
  <c r="AO103" i="6"/>
  <c r="AO105" i="6" s="1"/>
  <c r="AL103" i="6"/>
  <c r="AL105" i="6" s="1"/>
  <c r="AI103" i="6"/>
  <c r="AI105" i="6"/>
  <c r="AF103" i="6"/>
  <c r="AC103" i="6"/>
  <c r="AC105" i="6" s="1"/>
  <c r="Z103" i="6"/>
  <c r="Z105" i="6" s="1"/>
  <c r="W103" i="6"/>
  <c r="W105" i="6" s="1"/>
  <c r="T103" i="6"/>
  <c r="T105" i="6" s="1"/>
  <c r="Q103" i="6"/>
  <c r="Q105" i="6"/>
  <c r="N103" i="6"/>
  <c r="K103" i="6"/>
  <c r="K105" i="6" s="1"/>
  <c r="H103" i="6"/>
  <c r="H105" i="6" s="1"/>
  <c r="AO102" i="6"/>
  <c r="AO104" i="6" s="1"/>
  <c r="AO106" i="6" s="1"/>
  <c r="AL102" i="6"/>
  <c r="AL104" i="6" s="1"/>
  <c r="AI102" i="6"/>
  <c r="AI104" i="6" s="1"/>
  <c r="AI106" i="6"/>
  <c r="AF102" i="6"/>
  <c r="AC102" i="6"/>
  <c r="AC104" i="6" s="1"/>
  <c r="AC106" i="6" s="1"/>
  <c r="Z102" i="6"/>
  <c r="Z104" i="6"/>
  <c r="Z106" i="6" s="1"/>
  <c r="W102" i="6"/>
  <c r="W104" i="6" s="1"/>
  <c r="T102" i="6"/>
  <c r="Q102" i="6"/>
  <c r="Q104" i="6" s="1"/>
  <c r="N102" i="6"/>
  <c r="N104" i="6" s="1"/>
  <c r="K102" i="6"/>
  <c r="K104" i="6" s="1"/>
  <c r="K106" i="6"/>
  <c r="H102" i="6"/>
  <c r="H104" i="6"/>
  <c r="AQ93" i="6"/>
  <c r="AP93" i="6"/>
  <c r="AN93" i="6"/>
  <c r="AM93" i="6"/>
  <c r="AK93" i="6"/>
  <c r="AJ93" i="6"/>
  <c r="AH93" i="6"/>
  <c r="AG93" i="6"/>
  <c r="AE93" i="6"/>
  <c r="AD93" i="6"/>
  <c r="AB93" i="6"/>
  <c r="AA93" i="6"/>
  <c r="Y93" i="6"/>
  <c r="X93" i="6"/>
  <c r="V93" i="6"/>
  <c r="U93" i="6"/>
  <c r="S93" i="6"/>
  <c r="R93" i="6"/>
  <c r="P93" i="6"/>
  <c r="O93" i="6"/>
  <c r="M93" i="6"/>
  <c r="L93" i="6"/>
  <c r="J93" i="6"/>
  <c r="I93" i="6"/>
  <c r="AQ87" i="6"/>
  <c r="AN87" i="6"/>
  <c r="AK87" i="6"/>
  <c r="AK95" i="6" s="1"/>
  <c r="AJ87" i="6"/>
  <c r="AH87" i="6"/>
  <c r="AG87" i="6"/>
  <c r="AF87" i="6" s="1"/>
  <c r="AF95" i="6" s="1"/>
  <c r="AE87" i="6"/>
  <c r="AB87" i="6"/>
  <c r="Y87" i="6"/>
  <c r="V87" i="6"/>
  <c r="V95" i="6" s="1"/>
  <c r="S87" i="6"/>
  <c r="R87" i="6"/>
  <c r="P87" i="6"/>
  <c r="N87" i="6"/>
  <c r="N95" i="6" s="1"/>
  <c r="M87" i="6"/>
  <c r="J87" i="6"/>
  <c r="I87" i="6"/>
  <c r="I95" i="6" s="1"/>
  <c r="H87" i="6"/>
  <c r="AQ86" i="6"/>
  <c r="AP86" i="6"/>
  <c r="AN86" i="6"/>
  <c r="AM86" i="6"/>
  <c r="AL86" i="6"/>
  <c r="AL94" i="6"/>
  <c r="AK86" i="6"/>
  <c r="AJ86" i="6"/>
  <c r="AH86" i="6"/>
  <c r="AH135" i="6" s="1"/>
  <c r="AG86" i="6"/>
  <c r="AF86" i="6" s="1"/>
  <c r="AF94" i="6" s="1"/>
  <c r="AE86" i="6"/>
  <c r="AE94" i="6"/>
  <c r="AD86" i="6"/>
  <c r="AB86" i="6"/>
  <c r="AA86" i="6"/>
  <c r="Y86" i="6"/>
  <c r="X86" i="6"/>
  <c r="V86" i="6"/>
  <c r="U86" i="6"/>
  <c r="T86" i="6" s="1"/>
  <c r="S86" i="6"/>
  <c r="R86" i="6"/>
  <c r="P86" i="6"/>
  <c r="O86" i="6"/>
  <c r="N86" i="6" s="1"/>
  <c r="M86" i="6"/>
  <c r="L86" i="6"/>
  <c r="J86" i="6"/>
  <c r="H86" i="6" s="1"/>
  <c r="I86" i="6"/>
  <c r="AO85" i="6"/>
  <c r="AL85" i="6"/>
  <c r="AL93" i="6" s="1"/>
  <c r="AI85" i="6"/>
  <c r="AF85" i="6"/>
  <c r="AC85" i="6"/>
  <c r="Z85" i="6"/>
  <c r="Z93" i="6"/>
  <c r="W85" i="6"/>
  <c r="T85" i="6"/>
  <c r="Q85" i="6"/>
  <c r="N85" i="6"/>
  <c r="N93" i="6" s="1"/>
  <c r="K85" i="6"/>
  <c r="H85" i="6"/>
  <c r="H93" i="6" s="1"/>
  <c r="AQ79" i="6"/>
  <c r="AN79" i="6"/>
  <c r="AM79" i="6"/>
  <c r="AL79" i="6" s="1"/>
  <c r="AK79" i="6"/>
  <c r="AI79" i="6" s="1"/>
  <c r="AJ79" i="6"/>
  <c r="AH79" i="6"/>
  <c r="AG79" i="6"/>
  <c r="AF79" i="6" s="1"/>
  <c r="AE79" i="6"/>
  <c r="AE95" i="6" s="1"/>
  <c r="AB79" i="6"/>
  <c r="AA79" i="6"/>
  <c r="Z79" i="6" s="1"/>
  <c r="Y79" i="6"/>
  <c r="V79" i="6"/>
  <c r="U79" i="6"/>
  <c r="T79" i="6" s="1"/>
  <c r="R79" i="6"/>
  <c r="Q79" i="6" s="1"/>
  <c r="P79" i="6"/>
  <c r="O79" i="6"/>
  <c r="N79" i="6"/>
  <c r="M79" i="6"/>
  <c r="L79" i="6"/>
  <c r="K79" i="6" s="1"/>
  <c r="J79" i="6"/>
  <c r="I79" i="6"/>
  <c r="H79" i="6"/>
  <c r="AQ78" i="6"/>
  <c r="AP78" i="6"/>
  <c r="AN78" i="6"/>
  <c r="AM78" i="6"/>
  <c r="AL78" i="6" s="1"/>
  <c r="AK78" i="6"/>
  <c r="AK94" i="6" s="1"/>
  <c r="AJ78" i="6"/>
  <c r="AH78" i="6"/>
  <c r="AG78" i="6"/>
  <c r="AF78" i="6"/>
  <c r="AE78" i="6"/>
  <c r="AD78" i="6"/>
  <c r="AB78" i="6"/>
  <c r="AA78" i="6"/>
  <c r="Z78" i="6" s="1"/>
  <c r="Y78" i="6"/>
  <c r="X78" i="6"/>
  <c r="V78" i="6"/>
  <c r="T78" i="6" s="1"/>
  <c r="T94" i="6" s="1"/>
  <c r="U78" i="6"/>
  <c r="S78" i="6"/>
  <c r="R78" i="6"/>
  <c r="P78" i="6"/>
  <c r="O78" i="6"/>
  <c r="N78" i="6" s="1"/>
  <c r="M78" i="6"/>
  <c r="L78" i="6"/>
  <c r="J78" i="6"/>
  <c r="H78" i="6" s="1"/>
  <c r="H94" i="6" s="1"/>
  <c r="I78" i="6"/>
  <c r="AO77" i="6"/>
  <c r="AL77" i="6"/>
  <c r="AI77" i="6"/>
  <c r="AF77" i="6"/>
  <c r="AF93" i="6" s="1"/>
  <c r="AC77" i="6"/>
  <c r="Z77" i="6"/>
  <c r="W77" i="6"/>
  <c r="T77" i="6"/>
  <c r="Q77" i="6"/>
  <c r="N77" i="6"/>
  <c r="K77" i="6"/>
  <c r="H77" i="6"/>
  <c r="AQ64" i="6"/>
  <c r="AO64" i="6"/>
  <c r="AN64" i="6"/>
  <c r="AL64" i="6"/>
  <c r="AK64" i="6"/>
  <c r="AI64" i="6"/>
  <c r="AH64" i="6"/>
  <c r="AF64" i="6"/>
  <c r="AE64" i="6"/>
  <c r="AC64" i="6"/>
  <c r="AB64" i="6"/>
  <c r="Z64" i="6"/>
  <c r="Y64" i="6"/>
  <c r="W64" i="6"/>
  <c r="V64" i="6"/>
  <c r="T64" i="6"/>
  <c r="S64" i="6"/>
  <c r="Q64" i="6"/>
  <c r="P64" i="6"/>
  <c r="N64" i="6"/>
  <c r="M64" i="6"/>
  <c r="K64" i="6"/>
  <c r="J64" i="6"/>
  <c r="H64" i="6"/>
  <c r="AQ59" i="6"/>
  <c r="AO59" i="6"/>
  <c r="AN59" i="6"/>
  <c r="AL59" i="6"/>
  <c r="AK59" i="6"/>
  <c r="AI59" i="6"/>
  <c r="AH59" i="6"/>
  <c r="AF59" i="6"/>
  <c r="AE59" i="6"/>
  <c r="AC59" i="6"/>
  <c r="AB59" i="6"/>
  <c r="Z59" i="6"/>
  <c r="Y59" i="6"/>
  <c r="W59" i="6"/>
  <c r="V59" i="6"/>
  <c r="T59" i="6"/>
  <c r="S59" i="6"/>
  <c r="Q59" i="6"/>
  <c r="P59" i="6"/>
  <c r="N59" i="6"/>
  <c r="M59" i="6"/>
  <c r="K59" i="6"/>
  <c r="J59" i="6"/>
  <c r="H59" i="6"/>
  <c r="AQ55" i="6"/>
  <c r="AP55" i="6"/>
  <c r="AN55" i="6"/>
  <c r="AM55" i="6"/>
  <c r="AK55" i="6"/>
  <c r="AJ55" i="6"/>
  <c r="AJ17" i="6" s="1"/>
  <c r="AH55" i="6"/>
  <c r="AH56" i="6" s="1"/>
  <c r="AG55" i="6"/>
  <c r="AE55" i="6"/>
  <c r="AD55" i="6"/>
  <c r="AD17" i="6"/>
  <c r="AB55" i="6"/>
  <c r="AB17" i="6" s="1"/>
  <c r="AB25" i="6" s="1"/>
  <c r="AA55" i="6"/>
  <c r="AA17" i="6" s="1"/>
  <c r="AA25" i="6" s="1"/>
  <c r="Y55" i="6"/>
  <c r="X55" i="6"/>
  <c r="V55" i="6"/>
  <c r="U55" i="6"/>
  <c r="U56" i="6" s="1"/>
  <c r="S55" i="6"/>
  <c r="S17" i="6" s="1"/>
  <c r="R55" i="6"/>
  <c r="R17" i="6" s="1"/>
  <c r="P55" i="6"/>
  <c r="O55" i="6"/>
  <c r="M55" i="6"/>
  <c r="L55" i="6"/>
  <c r="L17" i="6"/>
  <c r="J55" i="6"/>
  <c r="I55" i="6"/>
  <c r="AQ54" i="6"/>
  <c r="AQ56" i="6"/>
  <c r="AP54" i="6"/>
  <c r="AP56" i="6"/>
  <c r="AN54" i="6"/>
  <c r="AN56" i="6"/>
  <c r="AM54" i="6"/>
  <c r="AM56" i="6"/>
  <c r="AK54" i="6"/>
  <c r="AK56" i="6"/>
  <c r="AJ54" i="6"/>
  <c r="AH54" i="6"/>
  <c r="AG54" i="6"/>
  <c r="AE54" i="6"/>
  <c r="AE56" i="6" s="1"/>
  <c r="AD54" i="6"/>
  <c r="AD56" i="6"/>
  <c r="AB54" i="6"/>
  <c r="AB56" i="6"/>
  <c r="AA54" i="6"/>
  <c r="Y54" i="6"/>
  <c r="Y56" i="6"/>
  <c r="X54" i="6"/>
  <c r="X56" i="6" s="1"/>
  <c r="V54" i="6"/>
  <c r="V56" i="6"/>
  <c r="U54" i="6"/>
  <c r="S54" i="6"/>
  <c r="S56" i="6"/>
  <c r="R54" i="6"/>
  <c r="P54" i="6"/>
  <c r="P56" i="6" s="1"/>
  <c r="O54" i="6"/>
  <c r="M54" i="6"/>
  <c r="M56" i="6"/>
  <c r="L54" i="6"/>
  <c r="L56" i="6" s="1"/>
  <c r="J54" i="6"/>
  <c r="J56" i="6"/>
  <c r="I54" i="6"/>
  <c r="I56" i="6" s="1"/>
  <c r="AO51" i="6"/>
  <c r="AL51" i="6"/>
  <c r="AI51" i="6"/>
  <c r="AF51" i="6"/>
  <c r="AC51" i="6"/>
  <c r="Z51" i="6"/>
  <c r="W51" i="6"/>
  <c r="T51" i="6"/>
  <c r="Q51" i="6"/>
  <c r="N51" i="6"/>
  <c r="K51" i="6"/>
  <c r="H51" i="6"/>
  <c r="AO50" i="6"/>
  <c r="AL50" i="6"/>
  <c r="AI50" i="6"/>
  <c r="AF50" i="6"/>
  <c r="AF55" i="6" s="1"/>
  <c r="AC50" i="6"/>
  <c r="Z50" i="6"/>
  <c r="W50" i="6"/>
  <c r="T50" i="6"/>
  <c r="Q50" i="6"/>
  <c r="Q55" i="6" s="1"/>
  <c r="N50" i="6"/>
  <c r="K50" i="6"/>
  <c r="H50" i="6"/>
  <c r="AO49" i="6"/>
  <c r="AL49" i="6"/>
  <c r="AI49" i="6"/>
  <c r="AF49" i="6"/>
  <c r="AC49" i="6"/>
  <c r="Z49" i="6"/>
  <c r="W49" i="6"/>
  <c r="W55" i="6" s="1"/>
  <c r="T49" i="6"/>
  <c r="Q49" i="6"/>
  <c r="N49" i="6"/>
  <c r="K49" i="6"/>
  <c r="H49" i="6"/>
  <c r="H55" i="6" s="1"/>
  <c r="AO48" i="6"/>
  <c r="AL48" i="6"/>
  <c r="AI48" i="6"/>
  <c r="AF48" i="6"/>
  <c r="AC48" i="6"/>
  <c r="Z48" i="6"/>
  <c r="W48" i="6"/>
  <c r="T48" i="6"/>
  <c r="Q48" i="6"/>
  <c r="N48" i="6"/>
  <c r="K48" i="6"/>
  <c r="H48" i="6"/>
  <c r="AO47" i="6"/>
  <c r="AL47" i="6"/>
  <c r="AI47" i="6"/>
  <c r="AF47" i="6"/>
  <c r="AC47" i="6"/>
  <c r="AC55" i="6"/>
  <c r="AC56" i="6" s="1"/>
  <c r="Z47" i="6"/>
  <c r="W47" i="6"/>
  <c r="T47" i="6"/>
  <c r="Q47" i="6"/>
  <c r="N47" i="6"/>
  <c r="K47" i="6"/>
  <c r="H47" i="6"/>
  <c r="AO46" i="6"/>
  <c r="AO55" i="6"/>
  <c r="AL46" i="6"/>
  <c r="AI46" i="6"/>
  <c r="AI55" i="6" s="1"/>
  <c r="AF46" i="6"/>
  <c r="AC46" i="6"/>
  <c r="Z46" i="6"/>
  <c r="W46" i="6"/>
  <c r="T46" i="6"/>
  <c r="Q46" i="6"/>
  <c r="N46" i="6"/>
  <c r="K46" i="6"/>
  <c r="H46" i="6"/>
  <c r="AO45" i="6"/>
  <c r="AL45" i="6"/>
  <c r="AI45" i="6"/>
  <c r="AF45" i="6"/>
  <c r="AC45" i="6"/>
  <c r="Z45" i="6"/>
  <c r="W45" i="6"/>
  <c r="T45" i="6"/>
  <c r="Q45" i="6"/>
  <c r="N45" i="6"/>
  <c r="K45" i="6"/>
  <c r="H45" i="6"/>
  <c r="AO44" i="6"/>
  <c r="AL44" i="6"/>
  <c r="AI44" i="6"/>
  <c r="AF44" i="6"/>
  <c r="AC44" i="6"/>
  <c r="Z44" i="6"/>
  <c r="W44" i="6"/>
  <c r="T44" i="6"/>
  <c r="Q44" i="6"/>
  <c r="N44" i="6"/>
  <c r="K44" i="6"/>
  <c r="H44" i="6"/>
  <c r="AO43" i="6"/>
  <c r="AL43" i="6"/>
  <c r="AI43" i="6"/>
  <c r="AF43" i="6"/>
  <c r="AC43" i="6"/>
  <c r="Z43" i="6"/>
  <c r="W43" i="6"/>
  <c r="T43" i="6"/>
  <c r="Q43" i="6"/>
  <c r="N43" i="6"/>
  <c r="K43" i="6"/>
  <c r="H43" i="6"/>
  <c r="AO42" i="6"/>
  <c r="AL42" i="6"/>
  <c r="AI42" i="6"/>
  <c r="AF42" i="6"/>
  <c r="AC42" i="6"/>
  <c r="Z42" i="6"/>
  <c r="W42" i="6"/>
  <c r="T42" i="6"/>
  <c r="Q42" i="6"/>
  <c r="N42" i="6"/>
  <c r="K42" i="6"/>
  <c r="H42" i="6"/>
  <c r="AO41" i="6"/>
  <c r="AL41" i="6"/>
  <c r="AI41" i="6"/>
  <c r="AF41" i="6"/>
  <c r="AC41" i="6"/>
  <c r="Z41" i="6"/>
  <c r="W41" i="6"/>
  <c r="T41" i="6"/>
  <c r="Q41" i="6"/>
  <c r="N41" i="6"/>
  <c r="K41" i="6"/>
  <c r="H41" i="6"/>
  <c r="AO40" i="6"/>
  <c r="AO54" i="6"/>
  <c r="AO56" i="6" s="1"/>
  <c r="AL40" i="6"/>
  <c r="AI40" i="6"/>
  <c r="AI54" i="6"/>
  <c r="AF40" i="6"/>
  <c r="AF54" i="6" s="1"/>
  <c r="AC40" i="6"/>
  <c r="AC54" i="6"/>
  <c r="Z40" i="6"/>
  <c r="Z54" i="6"/>
  <c r="W40" i="6"/>
  <c r="W54" i="6" s="1"/>
  <c r="W56" i="6" s="1"/>
  <c r="T40" i="6"/>
  <c r="T54" i="6" s="1"/>
  <c r="Q40" i="6"/>
  <c r="Q54" i="6"/>
  <c r="N40" i="6"/>
  <c r="N54" i="6"/>
  <c r="K40" i="6"/>
  <c r="K54" i="6"/>
  <c r="H40" i="6"/>
  <c r="H54" i="6"/>
  <c r="R36" i="6"/>
  <c r="AQ35" i="6"/>
  <c r="AP35" i="6"/>
  <c r="AO35" i="6"/>
  <c r="AN35" i="6"/>
  <c r="AM35" i="6"/>
  <c r="AM36" i="6" s="1"/>
  <c r="AK35" i="6"/>
  <c r="AK36" i="6" s="1"/>
  <c r="AJ35" i="6"/>
  <c r="AH35" i="6"/>
  <c r="AG35" i="6"/>
  <c r="AE35" i="6"/>
  <c r="AD35" i="6"/>
  <c r="AC35" i="6"/>
  <c r="AB35" i="6"/>
  <c r="AA35" i="6"/>
  <c r="Y35" i="6"/>
  <c r="X35" i="6"/>
  <c r="X36" i="6"/>
  <c r="W35" i="6"/>
  <c r="V35" i="6"/>
  <c r="U35" i="6"/>
  <c r="U36" i="6" s="1"/>
  <c r="S35" i="6"/>
  <c r="R35" i="6"/>
  <c r="P35" i="6"/>
  <c r="O35" i="6"/>
  <c r="M35" i="6"/>
  <c r="L35" i="6"/>
  <c r="L36" i="6" s="1"/>
  <c r="K35" i="6"/>
  <c r="J35" i="6"/>
  <c r="I35" i="6"/>
  <c r="I36" i="6" s="1"/>
  <c r="AQ34" i="6"/>
  <c r="AQ36" i="6" s="1"/>
  <c r="AP34" i="6"/>
  <c r="AP36" i="6"/>
  <c r="AN34" i="6"/>
  <c r="AN36" i="6" s="1"/>
  <c r="AM34" i="6"/>
  <c r="AK34" i="6"/>
  <c r="AJ34" i="6"/>
  <c r="AJ36" i="6" s="1"/>
  <c r="AH34" i="6"/>
  <c r="AH36" i="6" s="1"/>
  <c r="AG34" i="6"/>
  <c r="AE34" i="6"/>
  <c r="AE36" i="6" s="1"/>
  <c r="AD34" i="6"/>
  <c r="AD36" i="6" s="1"/>
  <c r="AC34" i="6"/>
  <c r="AB34" i="6"/>
  <c r="AB36" i="6"/>
  <c r="AA34" i="6"/>
  <c r="AA36" i="6"/>
  <c r="Y34" i="6"/>
  <c r="X34" i="6"/>
  <c r="W34" i="6"/>
  <c r="W36" i="6"/>
  <c r="V34" i="6"/>
  <c r="V36" i="6"/>
  <c r="U34" i="6"/>
  <c r="S34" i="6"/>
  <c r="S36" i="6"/>
  <c r="R34" i="6"/>
  <c r="P34" i="6"/>
  <c r="P36" i="6" s="1"/>
  <c r="O34" i="6"/>
  <c r="O36" i="6" s="1"/>
  <c r="M34" i="6"/>
  <c r="M36" i="6"/>
  <c r="L34" i="6"/>
  <c r="K36" i="6"/>
  <c r="J34" i="6"/>
  <c r="J36" i="6" s="1"/>
  <c r="I34" i="6"/>
  <c r="AO33" i="6"/>
  <c r="AL33" i="6"/>
  <c r="AL35" i="6" s="1"/>
  <c r="AI33" i="6"/>
  <c r="AI35" i="6"/>
  <c r="AF33" i="6"/>
  <c r="AF35" i="6" s="1"/>
  <c r="AC33" i="6"/>
  <c r="Z33" i="6"/>
  <c r="Z35" i="6" s="1"/>
  <c r="Z36" i="6" s="1"/>
  <c r="W33" i="6"/>
  <c r="T33" i="6"/>
  <c r="T35" i="6" s="1"/>
  <c r="Q33" i="6"/>
  <c r="Q35" i="6" s="1"/>
  <c r="Q36" i="6" s="1"/>
  <c r="N33" i="6"/>
  <c r="N35" i="6" s="1"/>
  <c r="K33" i="6"/>
  <c r="H33" i="6"/>
  <c r="H35" i="6"/>
  <c r="AO32" i="6"/>
  <c r="AO34" i="6" s="1"/>
  <c r="AO36" i="6" s="1"/>
  <c r="AL32" i="6"/>
  <c r="AL34" i="6" s="1"/>
  <c r="AL36" i="6" s="1"/>
  <c r="AI32" i="6"/>
  <c r="AI34" i="6"/>
  <c r="AI36" i="6" s="1"/>
  <c r="AF32" i="6"/>
  <c r="AF34" i="6" s="1"/>
  <c r="AF36" i="6" s="1"/>
  <c r="AC32" i="6"/>
  <c r="Z32" i="6"/>
  <c r="Z34" i="6" s="1"/>
  <c r="W32" i="6"/>
  <c r="T32" i="6"/>
  <c r="T34" i="6" s="1"/>
  <c r="T36" i="6"/>
  <c r="Q32" i="6"/>
  <c r="Q34" i="6" s="1"/>
  <c r="N32" i="6"/>
  <c r="N34" i="6" s="1"/>
  <c r="N36" i="6" s="1"/>
  <c r="K32" i="6"/>
  <c r="K34" i="6" s="1"/>
  <c r="H32" i="6"/>
  <c r="H34" i="6" s="1"/>
  <c r="H36" i="6"/>
  <c r="P24" i="6"/>
  <c r="AQ23" i="6"/>
  <c r="AP23" i="6"/>
  <c r="AN23" i="6"/>
  <c r="AM23" i="6"/>
  <c r="AK23" i="6"/>
  <c r="AJ23" i="6"/>
  <c r="AH23" i="6"/>
  <c r="AG23" i="6"/>
  <c r="AE23" i="6"/>
  <c r="AD23" i="6"/>
  <c r="AB23" i="6"/>
  <c r="AA23" i="6"/>
  <c r="Y23" i="6"/>
  <c r="X23" i="6"/>
  <c r="V23" i="6"/>
  <c r="U23" i="6"/>
  <c r="S23" i="6"/>
  <c r="R23" i="6"/>
  <c r="P23" i="6"/>
  <c r="O23" i="6"/>
  <c r="M23" i="6"/>
  <c r="L23" i="6"/>
  <c r="J23" i="6"/>
  <c r="I23" i="6"/>
  <c r="AQ17" i="6"/>
  <c r="AQ25" i="6"/>
  <c r="AP17" i="6"/>
  <c r="AN17" i="6"/>
  <c r="AN25" i="6"/>
  <c r="AM17" i="6"/>
  <c r="AK17" i="6"/>
  <c r="AK25" i="6"/>
  <c r="AG17" i="6"/>
  <c r="AE17" i="6"/>
  <c r="AE25" i="6"/>
  <c r="Y17" i="6"/>
  <c r="Y25" i="6"/>
  <c r="X17" i="6"/>
  <c r="V17" i="6"/>
  <c r="V25" i="6"/>
  <c r="U17" i="6"/>
  <c r="P17" i="6"/>
  <c r="P25" i="6" s="1"/>
  <c r="O17" i="6"/>
  <c r="M17" i="6"/>
  <c r="M25" i="6" s="1"/>
  <c r="J17" i="6"/>
  <c r="I17" i="6"/>
  <c r="AQ16" i="6"/>
  <c r="AP16" i="6"/>
  <c r="AN16" i="6"/>
  <c r="AM16" i="6"/>
  <c r="AK16" i="6"/>
  <c r="AJ16" i="6"/>
  <c r="AH16" i="6"/>
  <c r="AG16" i="6"/>
  <c r="AE16" i="6"/>
  <c r="AD16" i="6"/>
  <c r="AC65" i="6" s="1"/>
  <c r="AC68" i="6" s="1"/>
  <c r="AC70" i="6" s="1"/>
  <c r="AB16" i="6"/>
  <c r="AB24" i="6" s="1"/>
  <c r="AA16" i="6"/>
  <c r="Y16" i="6"/>
  <c r="Y24" i="6" s="1"/>
  <c r="X16" i="6"/>
  <c r="Y65" i="6" s="1"/>
  <c r="Y68" i="6" s="1"/>
  <c r="V16" i="6"/>
  <c r="U16" i="6"/>
  <c r="S16" i="6"/>
  <c r="R16" i="6"/>
  <c r="P16" i="6"/>
  <c r="O16" i="6"/>
  <c r="M16" i="6"/>
  <c r="L16" i="6"/>
  <c r="J16" i="6"/>
  <c r="J24" i="6" s="1"/>
  <c r="I16" i="6"/>
  <c r="H16" i="6" s="1"/>
  <c r="AO15" i="6"/>
  <c r="AL15" i="6"/>
  <c r="AI15" i="6"/>
  <c r="AF15" i="6"/>
  <c r="AC15" i="6"/>
  <c r="Z15" i="6"/>
  <c r="W15" i="6"/>
  <c r="T15" i="6"/>
  <c r="Q15" i="6"/>
  <c r="N15" i="6"/>
  <c r="K15" i="6"/>
  <c r="H15" i="6"/>
  <c r="AQ9" i="6"/>
  <c r="AP9" i="6"/>
  <c r="AO9" i="6"/>
  <c r="AN9" i="6"/>
  <c r="AM9" i="6"/>
  <c r="AL9" i="6" s="1"/>
  <c r="AK9" i="6"/>
  <c r="AH9" i="6"/>
  <c r="AE9" i="6"/>
  <c r="AD9" i="6"/>
  <c r="AC9" i="6"/>
  <c r="AB9" i="6"/>
  <c r="AA9" i="6"/>
  <c r="Z9" i="6"/>
  <c r="Y9" i="6"/>
  <c r="V9" i="6"/>
  <c r="T9" i="6" s="1"/>
  <c r="T25" i="6" s="1"/>
  <c r="U9" i="6"/>
  <c r="U25" i="6"/>
  <c r="S9" i="6"/>
  <c r="P9" i="6"/>
  <c r="M9" i="6"/>
  <c r="J9" i="6"/>
  <c r="J25" i="6" s="1"/>
  <c r="I9" i="6"/>
  <c r="H9" i="6" s="1"/>
  <c r="AQ8" i="6"/>
  <c r="AQ24" i="6" s="1"/>
  <c r="AP8" i="6"/>
  <c r="AQ60" i="6" s="1"/>
  <c r="AN8" i="6"/>
  <c r="AN24" i="6" s="1"/>
  <c r="AM8" i="6"/>
  <c r="AL8" i="6" s="1"/>
  <c r="AK8" i="6"/>
  <c r="AI60" i="6" s="1"/>
  <c r="AI63" i="6" s="1"/>
  <c r="AI70" i="6" s="1"/>
  <c r="AJ8" i="6"/>
  <c r="AH8" i="6"/>
  <c r="AH24" i="6" s="1"/>
  <c r="AG8" i="6"/>
  <c r="AF8" i="6" s="1"/>
  <c r="AE8" i="6"/>
  <c r="AD8" i="6"/>
  <c r="AB8" i="6"/>
  <c r="AA8" i="6"/>
  <c r="Z8" i="6" s="1"/>
  <c r="Y8" i="6"/>
  <c r="X8" i="6"/>
  <c r="V8" i="6"/>
  <c r="U8" i="6"/>
  <c r="T8" i="6" s="1"/>
  <c r="S8" i="6"/>
  <c r="Q60" i="6" s="1"/>
  <c r="Q63" i="6" s="1"/>
  <c r="Q70" i="6" s="1"/>
  <c r="R8" i="6"/>
  <c r="P8" i="6"/>
  <c r="O8" i="6"/>
  <c r="N8" i="6" s="1"/>
  <c r="M8" i="6"/>
  <c r="L8" i="6"/>
  <c r="J8" i="6"/>
  <c r="I8" i="6"/>
  <c r="H8" i="6" s="1"/>
  <c r="AO7" i="6"/>
  <c r="AL7" i="6"/>
  <c r="AI7" i="6"/>
  <c r="AF7" i="6"/>
  <c r="AC7" i="6"/>
  <c r="Z7" i="6"/>
  <c r="W7" i="6"/>
  <c r="T7" i="6"/>
  <c r="Q7" i="6"/>
  <c r="N7" i="6"/>
  <c r="K7" i="6"/>
  <c r="H7" i="6"/>
  <c r="AQ92" i="5"/>
  <c r="AO92" i="5"/>
  <c r="AN92" i="5"/>
  <c r="AL92" i="5"/>
  <c r="AK92" i="5"/>
  <c r="AI92" i="5"/>
  <c r="AH92" i="5"/>
  <c r="AF92" i="5"/>
  <c r="AE92" i="5"/>
  <c r="AE96" i="5" s="1"/>
  <c r="AC92" i="5"/>
  <c r="AB92" i="5"/>
  <c r="Z92" i="5"/>
  <c r="Y92" i="5"/>
  <c r="W92" i="5"/>
  <c r="V92" i="5"/>
  <c r="T92" i="5"/>
  <c r="S92" i="5"/>
  <c r="Q92" i="5"/>
  <c r="P92" i="5"/>
  <c r="N92" i="5"/>
  <c r="M92" i="5"/>
  <c r="K92" i="5"/>
  <c r="J92" i="5"/>
  <c r="H92" i="5"/>
  <c r="AQ87" i="5"/>
  <c r="AO87" i="5"/>
  <c r="AN87" i="5"/>
  <c r="AL87" i="5"/>
  <c r="AK87" i="5"/>
  <c r="AI87" i="5"/>
  <c r="AH87" i="5"/>
  <c r="AF87" i="5"/>
  <c r="AE87" i="5"/>
  <c r="AC87" i="5"/>
  <c r="AB87" i="5"/>
  <c r="Z87" i="5"/>
  <c r="Y87" i="5"/>
  <c r="W87" i="5"/>
  <c r="V87" i="5"/>
  <c r="T87" i="5"/>
  <c r="S87" i="5"/>
  <c r="Q87" i="5"/>
  <c r="P87" i="5"/>
  <c r="N87" i="5"/>
  <c r="M87" i="5"/>
  <c r="K87" i="5"/>
  <c r="J87" i="5"/>
  <c r="H87" i="5"/>
  <c r="AJ84" i="5"/>
  <c r="AQ83" i="5"/>
  <c r="AP83" i="5"/>
  <c r="AP63" i="5"/>
  <c r="AO93" i="5" s="1"/>
  <c r="AN83" i="5"/>
  <c r="AM83" i="5"/>
  <c r="AM63" i="5" s="1"/>
  <c r="AK83" i="5"/>
  <c r="AJ83" i="5"/>
  <c r="AH83" i="5"/>
  <c r="AH63" i="5"/>
  <c r="AG83" i="5"/>
  <c r="AE83" i="5"/>
  <c r="AD83" i="5"/>
  <c r="AB83" i="5"/>
  <c r="AB63" i="5" s="1"/>
  <c r="AA83" i="5"/>
  <c r="Y83" i="5"/>
  <c r="X83" i="5"/>
  <c r="X63" i="5" s="1"/>
  <c r="W63" i="5" s="1"/>
  <c r="V83" i="5"/>
  <c r="U83" i="5"/>
  <c r="S83" i="5"/>
  <c r="S63" i="5" s="1"/>
  <c r="R83" i="5"/>
  <c r="P83" i="5"/>
  <c r="O83" i="5"/>
  <c r="M83" i="5"/>
  <c r="L83" i="5"/>
  <c r="L63" i="5"/>
  <c r="J83" i="5"/>
  <c r="I83" i="5"/>
  <c r="AQ82" i="5"/>
  <c r="AQ84" i="5" s="1"/>
  <c r="AP82" i="5"/>
  <c r="AN82" i="5"/>
  <c r="AM82" i="5"/>
  <c r="AK82" i="5"/>
  <c r="AK84" i="5" s="1"/>
  <c r="AJ82" i="5"/>
  <c r="AH82" i="5"/>
  <c r="AH84" i="5" s="1"/>
  <c r="AG82" i="5"/>
  <c r="AG84" i="5"/>
  <c r="AE82" i="5"/>
  <c r="AE84" i="5" s="1"/>
  <c r="AD82" i="5"/>
  <c r="AD57" i="5" s="1"/>
  <c r="AC57" i="5" s="1"/>
  <c r="AC69" i="5" s="1"/>
  <c r="AD84" i="5"/>
  <c r="AB82" i="5"/>
  <c r="AB84" i="5" s="1"/>
  <c r="AA82" i="5"/>
  <c r="AA84" i="5" s="1"/>
  <c r="Y82" i="5"/>
  <c r="X82" i="5"/>
  <c r="X57" i="5" s="1"/>
  <c r="V82" i="5"/>
  <c r="V84" i="5" s="1"/>
  <c r="U82" i="5"/>
  <c r="U84" i="5"/>
  <c r="S82" i="5"/>
  <c r="S84" i="5" s="1"/>
  <c r="R82" i="5"/>
  <c r="R84" i="5"/>
  <c r="P82" i="5"/>
  <c r="O82" i="5"/>
  <c r="M82" i="5"/>
  <c r="M84" i="5"/>
  <c r="L82" i="5"/>
  <c r="J82" i="5"/>
  <c r="J84" i="5" s="1"/>
  <c r="I82" i="5"/>
  <c r="AU79" i="5"/>
  <c r="AO79" i="5"/>
  <c r="AO83" i="5"/>
  <c r="AL79" i="5"/>
  <c r="AI79" i="5"/>
  <c r="AF79" i="5"/>
  <c r="AC79" i="5"/>
  <c r="AC83" i="5" s="1"/>
  <c r="Z79" i="5"/>
  <c r="W79" i="5"/>
  <c r="W83" i="5"/>
  <c r="T79" i="5"/>
  <c r="Q79" i="5"/>
  <c r="Q83" i="5" s="1"/>
  <c r="N79" i="5"/>
  <c r="K79" i="5"/>
  <c r="K83" i="5" s="1"/>
  <c r="H79" i="5"/>
  <c r="AU78" i="5"/>
  <c r="AO78" i="5"/>
  <c r="AL78" i="5"/>
  <c r="AI78" i="5"/>
  <c r="AF78" i="5"/>
  <c r="AF83" i="5" s="1"/>
  <c r="AC78" i="5"/>
  <c r="Z78" i="5"/>
  <c r="W78" i="5"/>
  <c r="T78" i="5"/>
  <c r="Q78" i="5"/>
  <c r="N78" i="5"/>
  <c r="N83" i="5" s="1"/>
  <c r="N84" i="5" s="1"/>
  <c r="K78" i="5"/>
  <c r="H78" i="5"/>
  <c r="AU77" i="5"/>
  <c r="AO77" i="5"/>
  <c r="AL77" i="5"/>
  <c r="AI77" i="5"/>
  <c r="AI83" i="5" s="1"/>
  <c r="AF77" i="5"/>
  <c r="AC77" i="5"/>
  <c r="Z77" i="5"/>
  <c r="Z83" i="5"/>
  <c r="W77" i="5"/>
  <c r="T77" i="5"/>
  <c r="Q77" i="5"/>
  <c r="N77" i="5"/>
  <c r="K77" i="5"/>
  <c r="H77" i="5"/>
  <c r="AU76" i="5"/>
  <c r="AO76" i="5"/>
  <c r="AL76" i="5"/>
  <c r="AI76" i="5"/>
  <c r="AF76" i="5"/>
  <c r="AC76" i="5"/>
  <c r="Z76" i="5"/>
  <c r="W76" i="5"/>
  <c r="W82" i="5" s="1"/>
  <c r="W84" i="5" s="1"/>
  <c r="T76" i="5"/>
  <c r="Q76" i="5"/>
  <c r="N76" i="5"/>
  <c r="K76" i="5"/>
  <c r="H76" i="5"/>
  <c r="AU75" i="5"/>
  <c r="AO75" i="5"/>
  <c r="AL75" i="5"/>
  <c r="AL82" i="5"/>
  <c r="AI75" i="5"/>
  <c r="AI82" i="5" s="1"/>
  <c r="AF75" i="5"/>
  <c r="AF82" i="5"/>
  <c r="AC75" i="5"/>
  <c r="Z75" i="5"/>
  <c r="Z82" i="5" s="1"/>
  <c r="W75" i="5"/>
  <c r="T75" i="5"/>
  <c r="T82" i="5" s="1"/>
  <c r="Q75" i="5"/>
  <c r="Q82" i="5"/>
  <c r="Q84" i="5" s="1"/>
  <c r="N75" i="5"/>
  <c r="N82" i="5"/>
  <c r="K75" i="5"/>
  <c r="H75" i="5"/>
  <c r="H82" i="5"/>
  <c r="AQ68" i="5"/>
  <c r="AP68" i="5"/>
  <c r="AN68" i="5"/>
  <c r="AM68" i="5"/>
  <c r="AK68" i="5"/>
  <c r="AJ68" i="5"/>
  <c r="AH68" i="5"/>
  <c r="AG68" i="5"/>
  <c r="AE68" i="5"/>
  <c r="AD68" i="5"/>
  <c r="AC68" i="5"/>
  <c r="AB68" i="5"/>
  <c r="AA68" i="5"/>
  <c r="Y68" i="5"/>
  <c r="X68" i="5"/>
  <c r="V68" i="5"/>
  <c r="U68" i="5"/>
  <c r="S68" i="5"/>
  <c r="R68" i="5"/>
  <c r="P68" i="5"/>
  <c r="O68" i="5"/>
  <c r="M68" i="5"/>
  <c r="L68" i="5"/>
  <c r="J68" i="5"/>
  <c r="I68" i="5"/>
  <c r="AQ63" i="5"/>
  <c r="AN63" i="5"/>
  <c r="AK63" i="5"/>
  <c r="AJ63" i="5"/>
  <c r="AK93" i="5" s="1"/>
  <c r="AK96" i="5" s="1"/>
  <c r="AG63" i="5"/>
  <c r="AE63" i="5"/>
  <c r="AD63" i="5"/>
  <c r="AC63" i="5"/>
  <c r="AA63" i="5"/>
  <c r="Y63" i="5"/>
  <c r="V63" i="5"/>
  <c r="U63" i="5"/>
  <c r="V93" i="5" s="1"/>
  <c r="V96" i="5" s="1"/>
  <c r="R63" i="5"/>
  <c r="O63" i="5"/>
  <c r="M63" i="5"/>
  <c r="J63" i="5"/>
  <c r="AO62" i="5"/>
  <c r="AL62" i="5"/>
  <c r="AI62" i="5"/>
  <c r="AF62" i="5"/>
  <c r="AC62" i="5"/>
  <c r="Z62" i="5"/>
  <c r="W62" i="5"/>
  <c r="T62" i="5"/>
  <c r="Q62" i="5"/>
  <c r="N62" i="5"/>
  <c r="K62" i="5"/>
  <c r="H62" i="5"/>
  <c r="AQ57" i="5"/>
  <c r="AM57" i="5"/>
  <c r="AK57" i="5"/>
  <c r="AJ57" i="5"/>
  <c r="AG57" i="5"/>
  <c r="AG69" i="5" s="1"/>
  <c r="AE57" i="5"/>
  <c r="AE88" i="5" s="1"/>
  <c r="AB57" i="5"/>
  <c r="V57" i="5"/>
  <c r="V69" i="5" s="1"/>
  <c r="U57" i="5"/>
  <c r="S57" i="5"/>
  <c r="R57" i="5"/>
  <c r="R69" i="5" s="1"/>
  <c r="P57" i="5"/>
  <c r="M57" i="5"/>
  <c r="M69" i="5" s="1"/>
  <c r="J57" i="5"/>
  <c r="I57" i="5"/>
  <c r="AO56" i="5"/>
  <c r="AO68" i="5" s="1"/>
  <c r="AL56" i="5"/>
  <c r="AL68" i="5"/>
  <c r="AI56" i="5"/>
  <c r="AI68" i="5" s="1"/>
  <c r="AF56" i="5"/>
  <c r="AF68" i="5"/>
  <c r="AC56" i="5"/>
  <c r="Z56" i="5"/>
  <c r="W56" i="5"/>
  <c r="W68" i="5" s="1"/>
  <c r="T56" i="5"/>
  <c r="T68" i="5"/>
  <c r="Q56" i="5"/>
  <c r="Q68" i="5"/>
  <c r="N56" i="5"/>
  <c r="N68" i="5" s="1"/>
  <c r="K56" i="5"/>
  <c r="K68" i="5" s="1"/>
  <c r="H56" i="5"/>
  <c r="H68" i="5" s="1"/>
  <c r="AQ43" i="5"/>
  <c r="AO43" i="5"/>
  <c r="AN43" i="5"/>
  <c r="AL43" i="5"/>
  <c r="AK43" i="5"/>
  <c r="AI43" i="5"/>
  <c r="AH43" i="5"/>
  <c r="AF43" i="5"/>
  <c r="AE43" i="5"/>
  <c r="AC43" i="5"/>
  <c r="AB43" i="5"/>
  <c r="Z43" i="5"/>
  <c r="Y43" i="5"/>
  <c r="W43" i="5"/>
  <c r="V43" i="5"/>
  <c r="T43" i="5"/>
  <c r="S43" i="5"/>
  <c r="Q43" i="5"/>
  <c r="P43" i="5"/>
  <c r="N43" i="5"/>
  <c r="M43" i="5"/>
  <c r="K43" i="5"/>
  <c r="J43" i="5"/>
  <c r="H43" i="5"/>
  <c r="AQ38" i="5"/>
  <c r="AO38" i="5"/>
  <c r="AN38" i="5"/>
  <c r="AL38" i="5"/>
  <c r="AK38" i="5"/>
  <c r="AI38" i="5"/>
  <c r="AH38" i="5"/>
  <c r="AF38" i="5"/>
  <c r="AE38" i="5"/>
  <c r="AC38" i="5"/>
  <c r="AB38" i="5"/>
  <c r="Z38" i="5"/>
  <c r="Y38" i="5"/>
  <c r="W38" i="5"/>
  <c r="V38" i="5"/>
  <c r="T38" i="5"/>
  <c r="S38" i="5"/>
  <c r="Q38" i="5"/>
  <c r="P38" i="5"/>
  <c r="N38" i="5"/>
  <c r="M38" i="5"/>
  <c r="K38" i="5"/>
  <c r="J38" i="5"/>
  <c r="H38" i="5"/>
  <c r="P35" i="5"/>
  <c r="AQ34" i="5"/>
  <c r="AP34" i="5"/>
  <c r="AP14" i="5" s="1"/>
  <c r="AN34" i="5"/>
  <c r="AN14" i="5"/>
  <c r="AL14" i="5"/>
  <c r="AM34" i="5"/>
  <c r="AK34" i="5"/>
  <c r="AJ34" i="5"/>
  <c r="AH34" i="5"/>
  <c r="AH14" i="5"/>
  <c r="AG34" i="5"/>
  <c r="AE34" i="5"/>
  <c r="AD34" i="5"/>
  <c r="AD14" i="5" s="1"/>
  <c r="AC14" i="5" s="1"/>
  <c r="AB34" i="5"/>
  <c r="AB14" i="5"/>
  <c r="AA34" i="5"/>
  <c r="AA14" i="5" s="1"/>
  <c r="Y34" i="5"/>
  <c r="X34" i="5"/>
  <c r="X14" i="5" s="1"/>
  <c r="V34" i="5"/>
  <c r="V14" i="5"/>
  <c r="T14" i="5"/>
  <c r="U34" i="5"/>
  <c r="S34" i="5"/>
  <c r="S14" i="5" s="1"/>
  <c r="R34" i="5"/>
  <c r="P34" i="5"/>
  <c r="P14" i="5"/>
  <c r="O34" i="5"/>
  <c r="O14" i="5" s="1"/>
  <c r="M34" i="5"/>
  <c r="L34" i="5"/>
  <c r="L14" i="5" s="1"/>
  <c r="J34" i="5"/>
  <c r="J14" i="5"/>
  <c r="I34" i="5"/>
  <c r="I14" i="5" s="1"/>
  <c r="AQ33" i="5"/>
  <c r="AQ35" i="5"/>
  <c r="AP33" i="5"/>
  <c r="AP35" i="5" s="1"/>
  <c r="AN33" i="5"/>
  <c r="AM33" i="5"/>
  <c r="AK33" i="5"/>
  <c r="AJ33" i="5"/>
  <c r="AJ35" i="5" s="1"/>
  <c r="AH33" i="5"/>
  <c r="AG33" i="5"/>
  <c r="AE33" i="5"/>
  <c r="AD33" i="5"/>
  <c r="AB33" i="5"/>
  <c r="AB8" i="5" s="1"/>
  <c r="AB20" i="5" s="1"/>
  <c r="AA33" i="5"/>
  <c r="Y33" i="5"/>
  <c r="Y35" i="5"/>
  <c r="X33" i="5"/>
  <c r="X35" i="5" s="1"/>
  <c r="W33" i="5"/>
  <c r="W35" i="5" s="1"/>
  <c r="V33" i="5"/>
  <c r="V8" i="5"/>
  <c r="U33" i="5"/>
  <c r="S33" i="5"/>
  <c r="R33" i="5"/>
  <c r="R35" i="5"/>
  <c r="P33" i="5"/>
  <c r="P8" i="5" s="1"/>
  <c r="P20" i="5" s="1"/>
  <c r="O33" i="5"/>
  <c r="O35" i="5" s="1"/>
  <c r="M33" i="5"/>
  <c r="M35" i="5"/>
  <c r="L33" i="5"/>
  <c r="K33" i="5"/>
  <c r="K35" i="5" s="1"/>
  <c r="J33" i="5"/>
  <c r="J8" i="5"/>
  <c r="I33" i="5"/>
  <c r="I35" i="5" s="1"/>
  <c r="AO30" i="5"/>
  <c r="AO34" i="5" s="1"/>
  <c r="AL30" i="5"/>
  <c r="AI30" i="5"/>
  <c r="AI34" i="5" s="1"/>
  <c r="AF30" i="5"/>
  <c r="AC30" i="5"/>
  <c r="AC34" i="5" s="1"/>
  <c r="Z30" i="5"/>
  <c r="Z34" i="5" s="1"/>
  <c r="Z35" i="5" s="1"/>
  <c r="W30" i="5"/>
  <c r="W34" i="5" s="1"/>
  <c r="T30" i="5"/>
  <c r="T34" i="5"/>
  <c r="Q30" i="5"/>
  <c r="Q34" i="5"/>
  <c r="N30" i="5"/>
  <c r="K30" i="5"/>
  <c r="K34" i="5" s="1"/>
  <c r="H30" i="5"/>
  <c r="H34" i="5"/>
  <c r="AO29" i="5"/>
  <c r="AL29" i="5"/>
  <c r="AL34" i="5" s="1"/>
  <c r="AI29" i="5"/>
  <c r="AF29" i="5"/>
  <c r="AC29" i="5"/>
  <c r="Z29" i="5"/>
  <c r="W29" i="5"/>
  <c r="T29" i="5"/>
  <c r="Q29" i="5"/>
  <c r="N29" i="5"/>
  <c r="K29" i="5"/>
  <c r="H29" i="5"/>
  <c r="AO28" i="5"/>
  <c r="AL28" i="5"/>
  <c r="AI28" i="5"/>
  <c r="AF28" i="5"/>
  <c r="AC28" i="5"/>
  <c r="Z28" i="5"/>
  <c r="W28" i="5"/>
  <c r="T28" i="5"/>
  <c r="Q28" i="5"/>
  <c r="N28" i="5"/>
  <c r="K28" i="5"/>
  <c r="H28" i="5"/>
  <c r="AO27" i="5"/>
  <c r="AL27" i="5"/>
  <c r="AI27" i="5"/>
  <c r="AF27" i="5"/>
  <c r="AC27" i="5"/>
  <c r="Z27" i="5"/>
  <c r="W27" i="5"/>
  <c r="T27" i="5"/>
  <c r="Q27" i="5"/>
  <c r="N27" i="5"/>
  <c r="K27" i="5"/>
  <c r="H27" i="5"/>
  <c r="AO26" i="5"/>
  <c r="AO33" i="5" s="1"/>
  <c r="AL26" i="5"/>
  <c r="AL33" i="5" s="1"/>
  <c r="AL35" i="5" s="1"/>
  <c r="AI26" i="5"/>
  <c r="AI33" i="5" s="1"/>
  <c r="AI35" i="5" s="1"/>
  <c r="AF26" i="5"/>
  <c r="AF33" i="5" s="1"/>
  <c r="AC26" i="5"/>
  <c r="AC33" i="5" s="1"/>
  <c r="AC35" i="5" s="1"/>
  <c r="Z26" i="5"/>
  <c r="Z33" i="5" s="1"/>
  <c r="W26" i="5"/>
  <c r="T26" i="5"/>
  <c r="T33" i="5"/>
  <c r="T35" i="5"/>
  <c r="Q26" i="5"/>
  <c r="Q33" i="5"/>
  <c r="Q35" i="5" s="1"/>
  <c r="N26" i="5"/>
  <c r="N33" i="5"/>
  <c r="K26" i="5"/>
  <c r="H26" i="5"/>
  <c r="H33" i="5"/>
  <c r="R20" i="5"/>
  <c r="AQ19" i="5"/>
  <c r="AP19" i="5"/>
  <c r="AN19" i="5"/>
  <c r="AM19" i="5"/>
  <c r="AK19" i="5"/>
  <c r="AJ19" i="5"/>
  <c r="AH19" i="5"/>
  <c r="AG19" i="5"/>
  <c r="AE19" i="5"/>
  <c r="AD19" i="5"/>
  <c r="AB19" i="5"/>
  <c r="AA19" i="5"/>
  <c r="Y19" i="5"/>
  <c r="X19" i="5"/>
  <c r="V19" i="5"/>
  <c r="U19" i="5"/>
  <c r="S19" i="5"/>
  <c r="R19" i="5"/>
  <c r="P19" i="5"/>
  <c r="O19" i="5"/>
  <c r="M19" i="5"/>
  <c r="L19" i="5"/>
  <c r="J19" i="5"/>
  <c r="I19" i="5"/>
  <c r="AQ14" i="5"/>
  <c r="AM14" i="5"/>
  <c r="AJ14" i="5"/>
  <c r="AE14" i="5"/>
  <c r="Y14" i="5"/>
  <c r="Y20" i="5" s="1"/>
  <c r="U14" i="5"/>
  <c r="R14" i="5"/>
  <c r="P44" i="5"/>
  <c r="M14" i="5"/>
  <c r="J44" i="5"/>
  <c r="AO13" i="5"/>
  <c r="AL13" i="5"/>
  <c r="AI13" i="5"/>
  <c r="AF13" i="5"/>
  <c r="AC13" i="5"/>
  <c r="Z13" i="5"/>
  <c r="W13" i="5"/>
  <c r="T13" i="5"/>
  <c r="Q13" i="5"/>
  <c r="N13" i="5"/>
  <c r="K13" i="5"/>
  <c r="H13" i="5"/>
  <c r="AQ8" i="5"/>
  <c r="AP8" i="5"/>
  <c r="AK8" i="5"/>
  <c r="AJ8" i="5"/>
  <c r="AI39" i="5" s="1"/>
  <c r="AG8" i="5"/>
  <c r="Y8" i="5"/>
  <c r="X8" i="5"/>
  <c r="R8" i="5"/>
  <c r="O8" i="5"/>
  <c r="M8" i="5"/>
  <c r="M20" i="5"/>
  <c r="L8" i="5"/>
  <c r="I8" i="5"/>
  <c r="AO7" i="5"/>
  <c r="AO19" i="5"/>
  <c r="AL7" i="5"/>
  <c r="AL19" i="5" s="1"/>
  <c r="AI7" i="5"/>
  <c r="AI19" i="5" s="1"/>
  <c r="AF7" i="5"/>
  <c r="AF19" i="5"/>
  <c r="AC7" i="5"/>
  <c r="AC19" i="5" s="1"/>
  <c r="Z7" i="5"/>
  <c r="Z19" i="5" s="1"/>
  <c r="W7" i="5"/>
  <c r="W19" i="5"/>
  <c r="T7" i="5"/>
  <c r="Q7" i="5"/>
  <c r="Q19" i="5" s="1"/>
  <c r="N7" i="5"/>
  <c r="N19" i="5"/>
  <c r="K7" i="5"/>
  <c r="K19" i="5" s="1"/>
  <c r="H7" i="5"/>
  <c r="H19" i="5" s="1"/>
  <c r="S43" i="4"/>
  <c r="R43" i="4"/>
  <c r="Q43" i="4"/>
  <c r="S41" i="4"/>
  <c r="R41" i="4"/>
  <c r="Q41" i="4"/>
  <c r="S39" i="4"/>
  <c r="R39" i="4"/>
  <c r="Q39" i="4"/>
  <c r="P43" i="4"/>
  <c r="O43" i="4"/>
  <c r="N43" i="4"/>
  <c r="P41" i="4"/>
  <c r="O41" i="4"/>
  <c r="N41" i="4"/>
  <c r="P39" i="4"/>
  <c r="O39" i="4"/>
  <c r="N39" i="4"/>
  <c r="M43" i="4"/>
  <c r="L43" i="4"/>
  <c r="K43" i="4"/>
  <c r="M41" i="4"/>
  <c r="L41" i="4"/>
  <c r="K41" i="4"/>
  <c r="M39" i="4"/>
  <c r="L39" i="4"/>
  <c r="K39" i="4"/>
  <c r="J43" i="4"/>
  <c r="I43" i="4"/>
  <c r="H43" i="4"/>
  <c r="S64" i="4"/>
  <c r="P64" i="4"/>
  <c r="M64" i="4"/>
  <c r="J64" i="4"/>
  <c r="S59" i="4"/>
  <c r="S66" i="4" s="1"/>
  <c r="P59" i="4"/>
  <c r="P66" i="4"/>
  <c r="M59" i="4"/>
  <c r="M66" i="4" s="1"/>
  <c r="J59" i="4"/>
  <c r="J66" i="4" s="1"/>
  <c r="Q64" i="4"/>
  <c r="K64" i="4"/>
  <c r="N64" i="4"/>
  <c r="N66" i="4" s="1"/>
  <c r="H64" i="4"/>
  <c r="Q59" i="4"/>
  <c r="Q66" i="4" s="1"/>
  <c r="N59" i="4"/>
  <c r="K59" i="4"/>
  <c r="H59" i="4"/>
  <c r="J41" i="4"/>
  <c r="H41" i="4"/>
  <c r="I41" i="4"/>
  <c r="H39" i="4"/>
  <c r="J39" i="4"/>
  <c r="I39" i="4"/>
  <c r="R34" i="4"/>
  <c r="S34" i="4" s="1"/>
  <c r="R33" i="4"/>
  <c r="S33" i="4"/>
  <c r="O34" i="4"/>
  <c r="P34" i="4" s="1"/>
  <c r="O33" i="4"/>
  <c r="P33" i="4" s="1"/>
  <c r="L34" i="4"/>
  <c r="M34" i="4"/>
  <c r="L33" i="4"/>
  <c r="M33" i="4" s="1"/>
  <c r="I34" i="4"/>
  <c r="J34" i="4" s="1"/>
  <c r="I33" i="4"/>
  <c r="J33" i="4"/>
  <c r="K66" i="4"/>
  <c r="H66" i="4"/>
  <c r="AO42" i="9"/>
  <c r="O30" i="8"/>
  <c r="CA55" i="11"/>
  <c r="AX15" i="13"/>
  <c r="AH51" i="12"/>
  <c r="AQ51" i="12"/>
  <c r="J55" i="11"/>
  <c r="J26" i="11"/>
  <c r="H47" i="11"/>
  <c r="H49" i="11"/>
  <c r="H8" i="11"/>
  <c r="H26" i="11"/>
  <c r="AX55" i="13"/>
  <c r="AX57" i="13"/>
  <c r="BM55" i="11"/>
  <c r="J47" i="11"/>
  <c r="J49" i="11" s="1"/>
  <c r="S51" i="12"/>
  <c r="AN42" i="9"/>
  <c r="Z15" i="13"/>
  <c r="T8" i="13"/>
  <c r="BR53" i="13"/>
  <c r="BR26" i="13"/>
  <c r="BP8" i="13"/>
  <c r="AL51" i="13"/>
  <c r="AL53" i="13"/>
  <c r="AL59" i="13" s="1"/>
  <c r="BX26" i="13"/>
  <c r="AB55" i="13"/>
  <c r="AB57" i="13"/>
  <c r="AB59" i="13"/>
  <c r="V51" i="13"/>
  <c r="V53" i="13" s="1"/>
  <c r="P55" i="13"/>
  <c r="AF51" i="12"/>
  <c r="BG51" i="12"/>
  <c r="BU26" i="12"/>
  <c r="BU45" i="12"/>
  <c r="P47" i="12"/>
  <c r="P49" i="12"/>
  <c r="P51" i="12"/>
  <c r="N47" i="12"/>
  <c r="N49" i="12" s="1"/>
  <c r="N51" i="12" s="1"/>
  <c r="N15" i="12"/>
  <c r="N26" i="12"/>
  <c r="O26" i="12"/>
  <c r="AI55" i="11"/>
  <c r="AC24" i="9"/>
  <c r="BC40" i="10"/>
  <c r="BA15" i="10"/>
  <c r="AC15" i="10"/>
  <c r="BF25" i="8"/>
  <c r="BF27" i="8"/>
  <c r="BF29" i="8" s="1"/>
  <c r="U32" i="8" s="1"/>
  <c r="BD25" i="8"/>
  <c r="BD27" i="8"/>
  <c r="BD29" i="8" s="1"/>
  <c r="BD8" i="8"/>
  <c r="BR38" i="10"/>
  <c r="BP15" i="11"/>
  <c r="BR51" i="11"/>
  <c r="BR53" i="11"/>
  <c r="AC42" i="9"/>
  <c r="AL15" i="13"/>
  <c r="BS47" i="11"/>
  <c r="BS49" i="11"/>
  <c r="K42" i="9"/>
  <c r="BM59" i="13"/>
  <c r="BR57" i="13"/>
  <c r="BR59" i="13" s="1"/>
  <c r="AN55" i="13"/>
  <c r="AN57" i="13"/>
  <c r="AF55" i="13"/>
  <c r="AF57" i="13"/>
  <c r="AF59" i="13" s="1"/>
  <c r="T51" i="13"/>
  <c r="T53" i="13"/>
  <c r="BV15" i="13"/>
  <c r="BV26" i="13" s="1"/>
  <c r="AQ57" i="13"/>
  <c r="AQ59" i="13"/>
  <c r="AO15" i="13"/>
  <c r="AO26" i="13"/>
  <c r="AO26" i="12"/>
  <c r="BD55" i="11"/>
  <c r="BP55" i="13"/>
  <c r="BP57" i="13"/>
  <c r="BP59" i="13" s="1"/>
  <c r="K45" i="12"/>
  <c r="K43" i="12"/>
  <c r="M43" i="12"/>
  <c r="M45" i="12" s="1"/>
  <c r="K8" i="12"/>
  <c r="BG15" i="11"/>
  <c r="BI53" i="11"/>
  <c r="AX15" i="11"/>
  <c r="AZ51" i="11"/>
  <c r="AZ53" i="11" s="1"/>
  <c r="P51" i="11"/>
  <c r="P53" i="11"/>
  <c r="P55" i="11"/>
  <c r="N15" i="11"/>
  <c r="V27" i="8"/>
  <c r="V29" i="8"/>
  <c r="V25" i="8"/>
  <c r="T25" i="8"/>
  <c r="T27" i="8" s="1"/>
  <c r="T29" i="8" s="1"/>
  <c r="U30" i="8" s="1"/>
  <c r="T8" i="8"/>
  <c r="AF15" i="13"/>
  <c r="AF26" i="13"/>
  <c r="BX51" i="13"/>
  <c r="BX53" i="13"/>
  <c r="BW26" i="13"/>
  <c r="BV51" i="13"/>
  <c r="BV53" i="13"/>
  <c r="BV8" i="13"/>
  <c r="CB8" i="13"/>
  <c r="BX25" i="8"/>
  <c r="BX27" i="8"/>
  <c r="BX29" i="8"/>
  <c r="BV25" i="8"/>
  <c r="BV27" i="8" s="1"/>
  <c r="BV29" i="8" s="1"/>
  <c r="BV8" i="8"/>
  <c r="AN27" i="8"/>
  <c r="AN29" i="8" s="1"/>
  <c r="AM30" i="8"/>
  <c r="AN25" i="8"/>
  <c r="AL8" i="8"/>
  <c r="AL25" i="8"/>
  <c r="AL27" i="8"/>
  <c r="AL29" i="8" s="1"/>
  <c r="AN26" i="13"/>
  <c r="AN53" i="13"/>
  <c r="AL8" i="13"/>
  <c r="AL26" i="13"/>
  <c r="K24" i="9"/>
  <c r="AK36" i="10"/>
  <c r="AE29" i="8"/>
  <c r="AD30" i="8" s="1"/>
  <c r="AE25" i="8"/>
  <c r="AE27" i="8" s="1"/>
  <c r="AC25" i="8"/>
  <c r="AC27" i="8"/>
  <c r="AC29" i="8"/>
  <c r="CB14" i="9"/>
  <c r="H14" i="9"/>
  <c r="H24" i="9" s="1"/>
  <c r="BA36" i="10"/>
  <c r="BA38" i="10" s="1"/>
  <c r="BB26" i="10"/>
  <c r="BC36" i="10"/>
  <c r="BC38" i="10" s="1"/>
  <c r="BA8" i="10"/>
  <c r="AZ55" i="13"/>
  <c r="AZ57" i="13"/>
  <c r="BK15" i="12"/>
  <c r="CB40" i="12"/>
  <c r="J57" i="13"/>
  <c r="BA8" i="13"/>
  <c r="BC53" i="13"/>
  <c r="BC26" i="13"/>
  <c r="BC51" i="13"/>
  <c r="J51" i="12"/>
  <c r="AL45" i="12"/>
  <c r="AL43" i="12"/>
  <c r="AN43" i="12"/>
  <c r="AN45" i="12" s="1"/>
  <c r="AL8" i="12"/>
  <c r="BN26" i="12"/>
  <c r="BM43" i="12"/>
  <c r="BM45" i="12" s="1"/>
  <c r="BM51" i="12" s="1"/>
  <c r="BO43" i="12"/>
  <c r="BO45" i="12" s="1"/>
  <c r="BO51" i="12" s="1"/>
  <c r="BM8" i="12"/>
  <c r="BM26" i="12"/>
  <c r="W51" i="12"/>
  <c r="N55" i="11"/>
  <c r="BO55" i="11"/>
  <c r="S49" i="11"/>
  <c r="S26" i="11"/>
  <c r="Q47" i="11"/>
  <c r="Q49" i="11" s="1"/>
  <c r="AL42" i="9"/>
  <c r="AK42" i="9"/>
  <c r="Z42" i="9"/>
  <c r="BO59" i="13"/>
  <c r="AW47" i="12"/>
  <c r="AW49" i="12"/>
  <c r="AW51" i="12" s="1"/>
  <c r="AU49" i="12"/>
  <c r="AU51" i="12"/>
  <c r="AU15" i="12"/>
  <c r="AU26" i="12"/>
  <c r="AU47" i="12"/>
  <c r="S26" i="10"/>
  <c r="BG15" i="13"/>
  <c r="AO59" i="13"/>
  <c r="P57" i="13"/>
  <c r="N15" i="13"/>
  <c r="BI55" i="13"/>
  <c r="BI57" i="13" s="1"/>
  <c r="BI59" i="13" s="1"/>
  <c r="AH55" i="13"/>
  <c r="AH57" i="13"/>
  <c r="AH59" i="13" s="1"/>
  <c r="BX55" i="13"/>
  <c r="BU59" i="13"/>
  <c r="AT26" i="13"/>
  <c r="P26" i="12"/>
  <c r="BP49" i="12"/>
  <c r="BR47" i="12"/>
  <c r="BR49" i="12" s="1"/>
  <c r="BP47" i="12"/>
  <c r="BP15" i="12"/>
  <c r="T43" i="12"/>
  <c r="T45" i="12" s="1"/>
  <c r="T51" i="12" s="1"/>
  <c r="U26" i="12"/>
  <c r="T8" i="12"/>
  <c r="T26" i="12"/>
  <c r="V43" i="12"/>
  <c r="V45" i="12" s="1"/>
  <c r="V51" i="12" s="1"/>
  <c r="BR55" i="13"/>
  <c r="Z26" i="13"/>
  <c r="BP51" i="11"/>
  <c r="BP53" i="11" s="1"/>
  <c r="AF15" i="11"/>
  <c r="AH51" i="11"/>
  <c r="AH53" i="11"/>
  <c r="BX49" i="12"/>
  <c r="BV47" i="12"/>
  <c r="BV49" i="12"/>
  <c r="S40" i="10"/>
  <c r="AA26" i="10"/>
  <c r="N34" i="5"/>
  <c r="N35" i="5" s="1"/>
  <c r="AF34" i="5"/>
  <c r="S130" i="6"/>
  <c r="Q130" i="6"/>
  <c r="Q78" i="6"/>
  <c r="R94" i="6"/>
  <c r="Q135" i="6"/>
  <c r="Q138" i="6" s="1"/>
  <c r="Q140" i="6" s="1"/>
  <c r="AP84" i="5"/>
  <c r="AP57" i="5"/>
  <c r="AO39" i="5"/>
  <c r="Q44" i="5"/>
  <c r="V35" i="5"/>
  <c r="AL44" i="5"/>
  <c r="AL47" i="5" s="1"/>
  <c r="AH57" i="5"/>
  <c r="AH88" i="5" s="1"/>
  <c r="V20" i="5"/>
  <c r="AN44" i="5"/>
  <c r="AN47" i="5" s="1"/>
  <c r="AQ93" i="5"/>
  <c r="AQ96" i="5" s="1"/>
  <c r="K17" i="6"/>
  <c r="AD25" i="6"/>
  <c r="AC17" i="6"/>
  <c r="AC25" i="6" s="1"/>
  <c r="N14" i="5"/>
  <c r="J35" i="5"/>
  <c r="AB35" i="5"/>
  <c r="T44" i="5"/>
  <c r="T47" i="5" s="1"/>
  <c r="K8" i="5"/>
  <c r="W8" i="5"/>
  <c r="W39" i="5"/>
  <c r="J20" i="5"/>
  <c r="J47" i="5"/>
  <c r="M39" i="5"/>
  <c r="M42" i="5" s="1"/>
  <c r="V44" i="5"/>
  <c r="V47" i="5"/>
  <c r="AK88" i="5"/>
  <c r="AK91" i="5" s="1"/>
  <c r="AK98" i="5" s="1"/>
  <c r="AE93" i="5"/>
  <c r="AC96" i="5"/>
  <c r="AC93" i="5"/>
  <c r="AQ69" i="5"/>
  <c r="T16" i="6"/>
  <c r="T24" i="6" s="1"/>
  <c r="V24" i="6"/>
  <c r="AD69" i="5"/>
  <c r="AK69" i="5"/>
  <c r="N16" i="6"/>
  <c r="N24" i="6" s="1"/>
  <c r="V88" i="5"/>
  <c r="AF88" i="5"/>
  <c r="AB93" i="5"/>
  <c r="AH93" i="5"/>
  <c r="AF93" i="5"/>
  <c r="K82" i="5"/>
  <c r="K84" i="5" s="1"/>
  <c r="H23" i="6"/>
  <c r="Z23" i="6"/>
  <c r="H24" i="6"/>
  <c r="R9" i="6"/>
  <c r="Q9" i="6" s="1"/>
  <c r="R56" i="6"/>
  <c r="AJ56" i="6"/>
  <c r="AJ9" i="6"/>
  <c r="AI9" i="6"/>
  <c r="AJ25" i="6"/>
  <c r="AI17" i="6"/>
  <c r="J60" i="6"/>
  <c r="H60" i="6"/>
  <c r="H63" i="6" s="1"/>
  <c r="H70" i="6"/>
  <c r="T60" i="6"/>
  <c r="V60" i="6"/>
  <c r="AB60" i="6"/>
  <c r="AB63" i="6" s="1"/>
  <c r="Z60" i="6"/>
  <c r="Z63" i="6" s="1"/>
  <c r="Z70" i="6" s="1"/>
  <c r="AL60" i="6"/>
  <c r="AL63" i="6"/>
  <c r="AL70" i="6" s="1"/>
  <c r="AN60" i="6"/>
  <c r="AN63" i="6"/>
  <c r="AN70" i="6" s="1"/>
  <c r="AM71" i="6" s="1"/>
  <c r="K23" i="6"/>
  <c r="AC23" i="6"/>
  <c r="J65" i="6"/>
  <c r="J68" i="6" s="1"/>
  <c r="J70" i="6" s="1"/>
  <c r="I71" i="6" s="1"/>
  <c r="H65" i="6"/>
  <c r="X24" i="6"/>
  <c r="W16" i="6"/>
  <c r="W24" i="6" s="1"/>
  <c r="AF16" i="6"/>
  <c r="AF24" i="6" s="1"/>
  <c r="AP24" i="6"/>
  <c r="AQ65" i="6"/>
  <c r="AQ68" i="6" s="1"/>
  <c r="AQ70" i="6" s="1"/>
  <c r="AO16" i="6"/>
  <c r="AO24" i="6" s="1"/>
  <c r="N17" i="6"/>
  <c r="W17" i="6"/>
  <c r="AP25" i="6"/>
  <c r="AO17" i="6"/>
  <c r="AO25" i="6"/>
  <c r="U24" i="6"/>
  <c r="AM24" i="6"/>
  <c r="J63" i="6"/>
  <c r="M130" i="6"/>
  <c r="M133" i="6" s="1"/>
  <c r="K130" i="6"/>
  <c r="K78" i="6"/>
  <c r="L94" i="6"/>
  <c r="K86" i="6"/>
  <c r="K94" i="6"/>
  <c r="N23" i="6"/>
  <c r="AF23" i="6"/>
  <c r="S65" i="6"/>
  <c r="S68" i="6" s="1"/>
  <c r="Q65" i="6"/>
  <c r="R24" i="6"/>
  <c r="Q16" i="6"/>
  <c r="T63" i="6"/>
  <c r="H68" i="6"/>
  <c r="Q68" i="6"/>
  <c r="AQ130" i="6"/>
  <c r="AQ133" i="6" s="1"/>
  <c r="AO130" i="6"/>
  <c r="AO78" i="6"/>
  <c r="T93" i="6"/>
  <c r="AL106" i="6"/>
  <c r="S133" i="6"/>
  <c r="W8" i="6"/>
  <c r="AO8" i="6"/>
  <c r="Q23" i="6"/>
  <c r="AI23" i="6"/>
  <c r="K65" i="6"/>
  <c r="K68" i="6"/>
  <c r="L24" i="6"/>
  <c r="K16" i="6"/>
  <c r="M65" i="6"/>
  <c r="M68" i="6" s="1"/>
  <c r="S24" i="6"/>
  <c r="Z16" i="6"/>
  <c r="Z24" i="6"/>
  <c r="Z65" i="6"/>
  <c r="Z68" i="6" s="1"/>
  <c r="AK65" i="6"/>
  <c r="AI65" i="6"/>
  <c r="AI68" i="6"/>
  <c r="AJ24" i="6"/>
  <c r="AI16" i="6"/>
  <c r="H17" i="6"/>
  <c r="H25" i="6"/>
  <c r="I24" i="6"/>
  <c r="AA24" i="6"/>
  <c r="I25" i="6"/>
  <c r="V63" i="6"/>
  <c r="AO60" i="6"/>
  <c r="AO63" i="6"/>
  <c r="AO70" i="6" s="1"/>
  <c r="AK68" i="6"/>
  <c r="W65" i="6"/>
  <c r="W68" i="6" s="1"/>
  <c r="AK130" i="6"/>
  <c r="AK133" i="6" s="1"/>
  <c r="AK140" i="6" s="1"/>
  <c r="AJ141" i="6" s="1"/>
  <c r="AI130" i="6"/>
  <c r="AI133" i="6" s="1"/>
  <c r="AI140" i="6" s="1"/>
  <c r="AI78" i="6"/>
  <c r="S60" i="6"/>
  <c r="S63" i="6" s="1"/>
  <c r="S70" i="6" s="1"/>
  <c r="R71" i="6" s="1"/>
  <c r="AC60" i="6"/>
  <c r="AC63" i="6"/>
  <c r="AE60" i="6"/>
  <c r="AE63" i="6" s="1"/>
  <c r="T23" i="6"/>
  <c r="AL23" i="6"/>
  <c r="T55" i="6"/>
  <c r="T56" i="6" s="1"/>
  <c r="AL55" i="6"/>
  <c r="AL68" i="6"/>
  <c r="AE130" i="6"/>
  <c r="AE133" i="6" s="1"/>
  <c r="AC130" i="6"/>
  <c r="AC78" i="6"/>
  <c r="W23" i="6"/>
  <c r="AO23" i="6"/>
  <c r="T65" i="6"/>
  <c r="T68" i="6" s="1"/>
  <c r="V65" i="6"/>
  <c r="V68" i="6" s="1"/>
  <c r="AD24" i="6"/>
  <c r="AL65" i="6"/>
  <c r="AL16" i="6"/>
  <c r="AL24" i="6" s="1"/>
  <c r="AN65" i="6"/>
  <c r="T17" i="6"/>
  <c r="AL17" i="6"/>
  <c r="AL25" i="6"/>
  <c r="AG24" i="6"/>
  <c r="AQ63" i="6"/>
  <c r="AN68" i="6"/>
  <c r="AO65" i="6"/>
  <c r="AO68" i="6"/>
  <c r="Y130" i="6"/>
  <c r="Y133" i="6" s="1"/>
  <c r="W130" i="6"/>
  <c r="W133" i="6" s="1"/>
  <c r="W140" i="6" s="1"/>
  <c r="W78" i="6"/>
  <c r="Y135" i="6"/>
  <c r="Y138" i="6" s="1"/>
  <c r="W135" i="6"/>
  <c r="W138" i="6"/>
  <c r="X94" i="6"/>
  <c r="W86" i="6"/>
  <c r="W94" i="6" s="1"/>
  <c r="X95" i="6"/>
  <c r="W87" i="6"/>
  <c r="Q93" i="6"/>
  <c r="AI93" i="6"/>
  <c r="AD94" i="6"/>
  <c r="AC86" i="6"/>
  <c r="Z126" i="6"/>
  <c r="H125" i="6"/>
  <c r="H126" i="6" s="1"/>
  <c r="Z125" i="6"/>
  <c r="Q133" i="6"/>
  <c r="W93" i="6"/>
  <c r="AO93" i="6"/>
  <c r="M94" i="6"/>
  <c r="S94" i="6"/>
  <c r="Y94" i="6"/>
  <c r="J95" i="6"/>
  <c r="R95" i="6"/>
  <c r="Q87" i="6"/>
  <c r="Q95" i="6" s="1"/>
  <c r="Y95" i="6"/>
  <c r="K133" i="6"/>
  <c r="AC133" i="6"/>
  <c r="AN94" i="6"/>
  <c r="S95" i="6"/>
  <c r="AG95" i="6"/>
  <c r="AN95" i="6"/>
  <c r="J130" i="6"/>
  <c r="J133" i="6" s="1"/>
  <c r="J140" i="6" s="1"/>
  <c r="H130" i="6"/>
  <c r="H133" i="6" s="1"/>
  <c r="P130" i="6"/>
  <c r="N130" i="6"/>
  <c r="N133" i="6" s="1"/>
  <c r="N140" i="6" s="1"/>
  <c r="V130" i="6"/>
  <c r="V133" i="6"/>
  <c r="T130" i="6"/>
  <c r="T133" i="6" s="1"/>
  <c r="AB130" i="6"/>
  <c r="AB133" i="6"/>
  <c r="Z130" i="6"/>
  <c r="Z133" i="6" s="1"/>
  <c r="AH130" i="6"/>
  <c r="AH133" i="6" s="1"/>
  <c r="AH140" i="6" s="1"/>
  <c r="AF130" i="6"/>
  <c r="AN130" i="6"/>
  <c r="AN133" i="6"/>
  <c r="AL130" i="6"/>
  <c r="AL133" i="6"/>
  <c r="K93" i="6"/>
  <c r="AC93" i="6"/>
  <c r="J135" i="6"/>
  <c r="J138" i="6"/>
  <c r="I94" i="6"/>
  <c r="H135" i="6"/>
  <c r="H138" i="6" s="1"/>
  <c r="P135" i="6"/>
  <c r="N135" i="6"/>
  <c r="O94" i="6"/>
  <c r="U94" i="6"/>
  <c r="AH94" i="6"/>
  <c r="AQ135" i="6"/>
  <c r="AQ138" i="6" s="1"/>
  <c r="AO135" i="6"/>
  <c r="AP94" i="6"/>
  <c r="AO86" i="6"/>
  <c r="AO94" i="6"/>
  <c r="M95" i="6"/>
  <c r="AH95" i="6"/>
  <c r="AP95" i="6"/>
  <c r="AF133" i="6"/>
  <c r="AF140" i="6" s="1"/>
  <c r="AO133" i="6"/>
  <c r="AO140" i="6" s="1"/>
  <c r="N138" i="6"/>
  <c r="AO138" i="6"/>
  <c r="J94" i="6"/>
  <c r="P94" i="6"/>
  <c r="V94" i="6"/>
  <c r="AB94" i="6"/>
  <c r="AJ94" i="6"/>
  <c r="AI86" i="6"/>
  <c r="AI94" i="6"/>
  <c r="AK135" i="6"/>
  <c r="AK138" i="6"/>
  <c r="AI135" i="6"/>
  <c r="AI138" i="6"/>
  <c r="AQ94" i="6"/>
  <c r="AB95" i="6"/>
  <c r="AJ95" i="6"/>
  <c r="AQ95" i="6"/>
  <c r="P133" i="6"/>
  <c r="P138" i="6"/>
  <c r="AH138" i="6"/>
  <c r="Z135" i="6"/>
  <c r="Z138" i="6" s="1"/>
  <c r="AA94" i="6"/>
  <c r="AG94" i="6"/>
  <c r="AM94" i="6"/>
  <c r="AI87" i="6"/>
  <c r="AI95" i="6"/>
  <c r="AO87" i="6"/>
  <c r="AO95" i="6" s="1"/>
  <c r="AF135" i="6"/>
  <c r="AF138" i="6" s="1"/>
  <c r="BJ47" i="12"/>
  <c r="BJ49" i="12" s="1"/>
  <c r="BJ51" i="12" s="1"/>
  <c r="BJ15" i="12"/>
  <c r="BJ26" i="12"/>
  <c r="BL47" i="12"/>
  <c r="BL49" i="12"/>
  <c r="BL51" i="12"/>
  <c r="BK26" i="12"/>
  <c r="AN59" i="13"/>
  <c r="P140" i="6"/>
  <c r="AH91" i="5"/>
  <c r="AQ88" i="5"/>
  <c r="AQ91" i="5"/>
  <c r="AQ98" i="5" s="1"/>
  <c r="AO88" i="5"/>
  <c r="AO91" i="5" s="1"/>
  <c r="AP69" i="5"/>
  <c r="AO57" i="5"/>
  <c r="AC94" i="6"/>
  <c r="AI25" i="6"/>
  <c r="Z140" i="6" l="1"/>
  <c r="Y140" i="6"/>
  <c r="X141" i="6" s="1"/>
  <c r="V70" i="6"/>
  <c r="U71" i="6" s="1"/>
  <c r="AP71" i="6"/>
  <c r="AQ42" i="5"/>
  <c r="AH98" i="5"/>
  <c r="AG99" i="5" s="1"/>
  <c r="T91" i="5"/>
  <c r="O141" i="6"/>
  <c r="H140" i="6"/>
  <c r="I141" i="6" s="1"/>
  <c r="T70" i="6"/>
  <c r="AB70" i="6"/>
  <c r="AA71" i="6" s="1"/>
  <c r="AB44" i="5"/>
  <c r="AB47" i="5" s="1"/>
  <c r="Z14" i="5"/>
  <c r="Z44" i="5"/>
  <c r="Z47" i="5" s="1"/>
  <c r="T84" i="5"/>
  <c r="AG141" i="6"/>
  <c r="AQ140" i="6"/>
  <c r="AP141" i="6" s="1"/>
  <c r="I20" i="5"/>
  <c r="J39" i="5"/>
  <c r="J42" i="5" s="1"/>
  <c r="J49" i="5" s="1"/>
  <c r="AD8" i="5"/>
  <c r="AD35" i="5"/>
  <c r="AE65" i="6"/>
  <c r="AE68" i="6" s="1"/>
  <c r="AE70" i="6" s="1"/>
  <c r="AD71" i="6" s="1"/>
  <c r="AC16" i="6"/>
  <c r="AK60" i="6"/>
  <c r="AK63" i="6" s="1"/>
  <c r="AK70" i="6" s="1"/>
  <c r="AJ71" i="6" s="1"/>
  <c r="AI93" i="5"/>
  <c r="Y93" i="5"/>
  <c r="Y96" i="5" s="1"/>
  <c r="AC44" i="5"/>
  <c r="AC47" i="5" s="1"/>
  <c r="H35" i="5"/>
  <c r="AO35" i="5"/>
  <c r="H44" i="5"/>
  <c r="H47" i="5" s="1"/>
  <c r="H14" i="5"/>
  <c r="AQ44" i="5"/>
  <c r="AO44" i="5"/>
  <c r="AO47" i="5" s="1"/>
  <c r="AO14" i="5"/>
  <c r="Z68" i="5"/>
  <c r="AA57" i="5"/>
  <c r="AF63" i="5"/>
  <c r="AF96" i="5"/>
  <c r="AC82" i="5"/>
  <c r="AC84" i="5" s="1"/>
  <c r="AO82" i="5"/>
  <c r="AO84" i="5" s="1"/>
  <c r="H83" i="5"/>
  <c r="AL83" i="5"/>
  <c r="AL84" i="5" s="1"/>
  <c r="L84" i="5"/>
  <c r="L57" i="5"/>
  <c r="W57" i="5"/>
  <c r="W69" i="5" s="1"/>
  <c r="X69" i="5"/>
  <c r="AM84" i="5"/>
  <c r="AH96" i="5"/>
  <c r="Q8" i="6"/>
  <c r="Q24" i="6" s="1"/>
  <c r="AI8" i="6"/>
  <c r="AI24" i="6" s="1"/>
  <c r="AK24" i="6"/>
  <c r="AM25" i="6"/>
  <c r="H56" i="6"/>
  <c r="Q56" i="6"/>
  <c r="K55" i="6"/>
  <c r="K56" i="6" s="1"/>
  <c r="O9" i="6"/>
  <c r="O56" i="6"/>
  <c r="W106" i="6"/>
  <c r="I30" i="8"/>
  <c r="AM35" i="5"/>
  <c r="AM8" i="5"/>
  <c r="Q91" i="5"/>
  <c r="Q57" i="5"/>
  <c r="Q69" i="5" s="1"/>
  <c r="Q88" i="5"/>
  <c r="Y84" i="5"/>
  <c r="Y57" i="5"/>
  <c r="K63" i="5"/>
  <c r="M93" i="5"/>
  <c r="K93" i="5"/>
  <c r="S93" i="5"/>
  <c r="S96" i="5" s="1"/>
  <c r="M26" i="12"/>
  <c r="V91" i="5"/>
  <c r="V98" i="5" s="1"/>
  <c r="H39" i="5"/>
  <c r="H42" i="5" s="1"/>
  <c r="H8" i="5"/>
  <c r="H20" i="5" s="1"/>
  <c r="T19" i="5"/>
  <c r="L20" i="5"/>
  <c r="K39" i="5"/>
  <c r="K42" i="5" s="1"/>
  <c r="K49" i="5" s="1"/>
  <c r="Y39" i="5"/>
  <c r="X20" i="5"/>
  <c r="W42" i="5"/>
  <c r="W49" i="5" s="1"/>
  <c r="S44" i="5"/>
  <c r="Q14" i="5"/>
  <c r="Q47" i="5"/>
  <c r="AI14" i="5"/>
  <c r="AK44" i="5"/>
  <c r="AF35" i="5"/>
  <c r="L35" i="5"/>
  <c r="AE35" i="5"/>
  <c r="AE8" i="5"/>
  <c r="AN8" i="5"/>
  <c r="AN35" i="5"/>
  <c r="W14" i="5"/>
  <c r="W20" i="5" s="1"/>
  <c r="Y44" i="5"/>
  <c r="Y47" i="5" s="1"/>
  <c r="W44" i="5"/>
  <c r="W47" i="5" s="1"/>
  <c r="H57" i="5"/>
  <c r="S69" i="5"/>
  <c r="AM69" i="5"/>
  <c r="Q63" i="5"/>
  <c r="Z63" i="5"/>
  <c r="H84" i="5"/>
  <c r="AN57" i="5"/>
  <c r="AN84" i="5"/>
  <c r="M96" i="5"/>
  <c r="K8" i="6"/>
  <c r="K24" i="6" s="1"/>
  <c r="AC8" i="6"/>
  <c r="M24" i="6"/>
  <c r="AE24" i="6"/>
  <c r="AF56" i="6"/>
  <c r="S25" i="6"/>
  <c r="Q17" i="6"/>
  <c r="Q25" i="6" s="1"/>
  <c r="S135" i="6"/>
  <c r="S138" i="6" s="1"/>
  <c r="S140" i="6" s="1"/>
  <c r="R141" i="6" s="1"/>
  <c r="Q86" i="6"/>
  <c r="Q94" i="6" s="1"/>
  <c r="BJ55" i="13"/>
  <c r="BJ57" i="13" s="1"/>
  <c r="BJ59" i="13" s="1"/>
  <c r="BL26" i="13"/>
  <c r="BJ15" i="13"/>
  <c r="BJ26" i="13" s="1"/>
  <c r="BL55" i="13"/>
  <c r="BL57" i="13" s="1"/>
  <c r="BL59" i="13" s="1"/>
  <c r="BA34" i="9"/>
  <c r="BA36" i="9" s="1"/>
  <c r="BA42" i="9" s="1"/>
  <c r="BC24" i="9"/>
  <c r="BA8" i="9"/>
  <c r="BA24" i="9" s="1"/>
  <c r="K20" i="5"/>
  <c r="AB65" i="6"/>
  <c r="AB68" i="6" s="1"/>
  <c r="K96" i="5"/>
  <c r="AQ39" i="5"/>
  <c r="AP20" i="5"/>
  <c r="AO42" i="5"/>
  <c r="S8" i="5"/>
  <c r="S35" i="5"/>
  <c r="M44" i="5"/>
  <c r="M47" i="5" s="1"/>
  <c r="M49" i="5" s="1"/>
  <c r="L50" i="5" s="1"/>
  <c r="K44" i="5"/>
  <c r="K47" i="5" s="1"/>
  <c r="K14" i="5"/>
  <c r="S47" i="5"/>
  <c r="AG35" i="5"/>
  <c r="AG14" i="5"/>
  <c r="Y42" i="5"/>
  <c r="Y49" i="5" s="1"/>
  <c r="X50" i="5" s="1"/>
  <c r="P47" i="5"/>
  <c r="J69" i="5"/>
  <c r="H88" i="5"/>
  <c r="H91" i="5" s="1"/>
  <c r="J88" i="5"/>
  <c r="J91" i="5" s="1"/>
  <c r="U69" i="5"/>
  <c r="T88" i="5"/>
  <c r="T57" i="5"/>
  <c r="T69" i="5" s="1"/>
  <c r="AE69" i="5"/>
  <c r="AE91" i="5"/>
  <c r="AE98" i="5" s="1"/>
  <c r="Q93" i="5"/>
  <c r="Q96" i="5" s="1"/>
  <c r="AI84" i="5"/>
  <c r="T83" i="5"/>
  <c r="AU80" i="5"/>
  <c r="O57" i="5"/>
  <c r="O84" i="5"/>
  <c r="X84" i="5"/>
  <c r="AF91" i="5"/>
  <c r="AF98" i="5" s="1"/>
  <c r="O24" i="6"/>
  <c r="N65" i="6"/>
  <c r="N68" i="6" s="1"/>
  <c r="P65" i="6"/>
  <c r="P68" i="6" s="1"/>
  <c r="AI56" i="6"/>
  <c r="AJ20" i="5"/>
  <c r="AI8" i="5"/>
  <c r="AI20" i="5" s="1"/>
  <c r="AI42" i="5"/>
  <c r="AK35" i="5"/>
  <c r="AK14" i="5"/>
  <c r="P93" i="5"/>
  <c r="N93" i="5"/>
  <c r="N96" i="5" s="1"/>
  <c r="N63" i="5"/>
  <c r="S88" i="5"/>
  <c r="S91" i="5" s="1"/>
  <c r="AK39" i="5"/>
  <c r="AF57" i="5"/>
  <c r="AQ47" i="5"/>
  <c r="AQ20" i="5"/>
  <c r="U35" i="5"/>
  <c r="U8" i="5"/>
  <c r="AH35" i="5"/>
  <c r="AH8" i="5"/>
  <c r="T63" i="5"/>
  <c r="T93" i="5"/>
  <c r="T96" i="5" s="1"/>
  <c r="W93" i="5"/>
  <c r="W96" i="5" s="1"/>
  <c r="AL63" i="5"/>
  <c r="AN93" i="5"/>
  <c r="AN96" i="5" s="1"/>
  <c r="AL93" i="5"/>
  <c r="AL96" i="5" s="1"/>
  <c r="BV55" i="13"/>
  <c r="BV57" i="13" s="1"/>
  <c r="BV59" i="13" s="1"/>
  <c r="BX57" i="13"/>
  <c r="BX59" i="13" s="1"/>
  <c r="AR55" i="11"/>
  <c r="AE44" i="5"/>
  <c r="AE47" i="5" s="1"/>
  <c r="AI63" i="5"/>
  <c r="AI96" i="5"/>
  <c r="AF84" i="5"/>
  <c r="AB69" i="5"/>
  <c r="AB96" i="5"/>
  <c r="AA95" i="6"/>
  <c r="AH69" i="5"/>
  <c r="Z17" i="6"/>
  <c r="Z25" i="6" s="1"/>
  <c r="R25" i="6"/>
  <c r="AO8" i="5"/>
  <c r="AO20" i="5" s="1"/>
  <c r="AM32" i="8"/>
  <c r="N8" i="5"/>
  <c r="N20" i="5" s="1"/>
  <c r="O20" i="5"/>
  <c r="P39" i="5"/>
  <c r="P42" i="5" s="1"/>
  <c r="P49" i="5" s="1"/>
  <c r="N39" i="5"/>
  <c r="N42" i="5" s="1"/>
  <c r="N49" i="5" s="1"/>
  <c r="AA8" i="5"/>
  <c r="AA35" i="5"/>
  <c r="N44" i="5"/>
  <c r="N47" i="5" s="1"/>
  <c r="AK42" i="5"/>
  <c r="AI88" i="5"/>
  <c r="AJ69" i="5"/>
  <c r="AI91" i="5"/>
  <c r="AI98" i="5" s="1"/>
  <c r="AJ99" i="5" s="1"/>
  <c r="AI57" i="5"/>
  <c r="Z84" i="5"/>
  <c r="AC88" i="5"/>
  <c r="AC91" i="5" s="1"/>
  <c r="AC98" i="5" s="1"/>
  <c r="I84" i="5"/>
  <c r="I63" i="5"/>
  <c r="P63" i="5"/>
  <c r="P84" i="5"/>
  <c r="Z93" i="5"/>
  <c r="Z96" i="5" s="1"/>
  <c r="AG9" i="6"/>
  <c r="AG56" i="6"/>
  <c r="H106" i="6"/>
  <c r="AO96" i="5"/>
  <c r="AO98" i="5" s="1"/>
  <c r="AP99" i="5" s="1"/>
  <c r="L9" i="6"/>
  <c r="AH17" i="6"/>
  <c r="Y36" i="6"/>
  <c r="AA56" i="6"/>
  <c r="Q106" i="6"/>
  <c r="AC126" i="6"/>
  <c r="BS8" i="11"/>
  <c r="BU47" i="11"/>
  <c r="BU49" i="11" s="1"/>
  <c r="AU42" i="10"/>
  <c r="CC8" i="9"/>
  <c r="BY8" i="9"/>
  <c r="BY24" i="9" s="1"/>
  <c r="CA24" i="9"/>
  <c r="BY34" i="9"/>
  <c r="BY36" i="9" s="1"/>
  <c r="BY42" i="9" s="1"/>
  <c r="S38" i="9"/>
  <c r="Q14" i="9"/>
  <c r="Q24" i="9" s="1"/>
  <c r="R24" i="9"/>
  <c r="Q38" i="9"/>
  <c r="Q40" i="9" s="1"/>
  <c r="Y38" i="9"/>
  <c r="Y40" i="9" s="1"/>
  <c r="X24" i="9"/>
  <c r="W14" i="9"/>
  <c r="W38" i="9"/>
  <c r="W40" i="9" s="1"/>
  <c r="K31" i="10"/>
  <c r="L8" i="10"/>
  <c r="T31" i="10"/>
  <c r="U8" i="10"/>
  <c r="AK26" i="10"/>
  <c r="AR31" i="10"/>
  <c r="AS8" i="10"/>
  <c r="AT36" i="10" s="1"/>
  <c r="AT38" i="10" s="1"/>
  <c r="BA26" i="10"/>
  <c r="H95" i="6"/>
  <c r="P95" i="6"/>
  <c r="W79" i="6"/>
  <c r="W95" i="6" s="1"/>
  <c r="AK55" i="11"/>
  <c r="O32" i="8"/>
  <c r="CC35" i="7"/>
  <c r="AH34" i="9"/>
  <c r="AH36" i="9" s="1"/>
  <c r="AG24" i="9"/>
  <c r="AF34" i="9"/>
  <c r="AF36" i="9" s="1"/>
  <c r="AF42" i="9" s="1"/>
  <c r="AW34" i="9"/>
  <c r="AU34" i="9"/>
  <c r="AU36" i="9"/>
  <c r="AU42" i="9" s="1"/>
  <c r="AU8" i="9"/>
  <c r="AV24" i="9"/>
  <c r="BM15" i="10"/>
  <c r="BO40" i="10"/>
  <c r="N60" i="6"/>
  <c r="N63" i="6" s="1"/>
  <c r="N70" i="6" s="1"/>
  <c r="Z55" i="6"/>
  <c r="Z56" i="6" s="1"/>
  <c r="I106" i="6"/>
  <c r="U87" i="6"/>
  <c r="U126" i="6"/>
  <c r="AD126" i="6"/>
  <c r="AD87" i="6"/>
  <c r="AM126" i="6"/>
  <c r="AM87" i="6"/>
  <c r="BL55" i="11"/>
  <c r="AI42" i="9"/>
  <c r="BO8" i="8"/>
  <c r="CC12" i="8"/>
  <c r="BM12" i="8"/>
  <c r="AW36" i="9"/>
  <c r="AG36" i="6"/>
  <c r="N55" i="6"/>
  <c r="N56" i="6" s="1"/>
  <c r="AB135" i="6"/>
  <c r="AB138" i="6" s="1"/>
  <c r="AB140" i="6" s="1"/>
  <c r="AA141" i="6" s="1"/>
  <c r="Z86" i="6"/>
  <c r="Z94" i="6" s="1"/>
  <c r="T126" i="6"/>
  <c r="AF124" i="6"/>
  <c r="AF126" i="6" s="1"/>
  <c r="Z59" i="13"/>
  <c r="BS24" i="9"/>
  <c r="BC8" i="8"/>
  <c r="BA12" i="8"/>
  <c r="BO36" i="9"/>
  <c r="BO42" i="9" s="1"/>
  <c r="BW8" i="10"/>
  <c r="BV31" i="10"/>
  <c r="AO63" i="5"/>
  <c r="AO69" i="5" s="1"/>
  <c r="X9" i="6"/>
  <c r="AC36" i="6"/>
  <c r="AL54" i="6"/>
  <c r="AL56" i="6" s="1"/>
  <c r="N94" i="6"/>
  <c r="L87" i="6"/>
  <c r="K59" i="13"/>
  <c r="BA59" i="13"/>
  <c r="BA15" i="13"/>
  <c r="BA26" i="13" s="1"/>
  <c r="BC55" i="13"/>
  <c r="BC57" i="13" s="1"/>
  <c r="BC59" i="13" s="1"/>
  <c r="AO51" i="12"/>
  <c r="AF51" i="11"/>
  <c r="AF53" i="11" s="1"/>
  <c r="AF55" i="11" s="1"/>
  <c r="AH26" i="11"/>
  <c r="N42" i="9"/>
  <c r="AZ8" i="10"/>
  <c r="AZ36" i="10" s="1"/>
  <c r="AX31" i="10"/>
  <c r="BH8" i="10"/>
  <c r="BH26" i="10" s="1"/>
  <c r="BG31" i="10"/>
  <c r="AT51" i="13"/>
  <c r="AT53" i="13" s="1"/>
  <c r="AT59" i="13" s="1"/>
  <c r="Q8" i="11"/>
  <c r="AH25" i="8"/>
  <c r="AH27" i="8" s="1"/>
  <c r="AH29" i="8" s="1"/>
  <c r="AG30" i="8" s="1"/>
  <c r="CB35" i="7"/>
  <c r="N41" i="7"/>
  <c r="BB24" i="9"/>
  <c r="BC34" i="9"/>
  <c r="BC36" i="9" s="1"/>
  <c r="BC42" i="9" s="1"/>
  <c r="BG34" i="9"/>
  <c r="BG36" i="9" s="1"/>
  <c r="BG42" i="9" s="1"/>
  <c r="AI40" i="9"/>
  <c r="AU14" i="9"/>
  <c r="AW38" i="9"/>
  <c r="AW40" i="9"/>
  <c r="BR38" i="9"/>
  <c r="BP14" i="9"/>
  <c r="BP24" i="9" s="1"/>
  <c r="BQ24" i="9"/>
  <c r="BP38" i="9"/>
  <c r="BP40" i="9" s="1"/>
  <c r="BP42" i="9" s="1"/>
  <c r="BF47" i="11"/>
  <c r="BF49" i="11" s="1"/>
  <c r="BD8" i="11"/>
  <c r="BD26" i="11" s="1"/>
  <c r="N55" i="13"/>
  <c r="N57" i="13" s="1"/>
  <c r="N59" i="13" s="1"/>
  <c r="BG55" i="13"/>
  <c r="BG57" i="13" s="1"/>
  <c r="BG59" i="13" s="1"/>
  <c r="AX24" i="9"/>
  <c r="AC8" i="8"/>
  <c r="AR8" i="8"/>
  <c r="K12" i="8"/>
  <c r="M8" i="8"/>
  <c r="W12" i="8"/>
  <c r="AF12" i="8"/>
  <c r="AR12" i="8"/>
  <c r="Y36" i="9"/>
  <c r="Y24" i="9"/>
  <c r="AP24" i="9"/>
  <c r="AQ34" i="9"/>
  <c r="BD34" i="9"/>
  <c r="BD36" i="9" s="1"/>
  <c r="BD42" i="9" s="1"/>
  <c r="CB8" i="9"/>
  <c r="BU34" i="9"/>
  <c r="BU36" i="9" s="1"/>
  <c r="M38" i="9"/>
  <c r="M40" i="9" s="1"/>
  <c r="L24" i="9"/>
  <c r="S40" i="9"/>
  <c r="AF23" i="10"/>
  <c r="AL23" i="10"/>
  <c r="CC23" i="10"/>
  <c r="AC31" i="10"/>
  <c r="T40" i="10"/>
  <c r="T42" i="10"/>
  <c r="T15" i="10"/>
  <c r="AL40" i="10"/>
  <c r="AL42" i="10" s="1"/>
  <c r="AG15" i="10"/>
  <c r="T26" i="11"/>
  <c r="AL15" i="11"/>
  <c r="AL26" i="11" s="1"/>
  <c r="BP21" i="11"/>
  <c r="BR8" i="11"/>
  <c r="AB26" i="13"/>
  <c r="BD24" i="9"/>
  <c r="S34" i="9"/>
  <c r="S36" i="9" s="1"/>
  <c r="Q36" i="9"/>
  <c r="Q42" i="9" s="1"/>
  <c r="AB34" i="9"/>
  <c r="AB36" i="9" s="1"/>
  <c r="Z8" i="9"/>
  <c r="Z24" i="9" s="1"/>
  <c r="BU24" i="9"/>
  <c r="BS34" i="9"/>
  <c r="BS36" i="9" s="1"/>
  <c r="BV15" i="11"/>
  <c r="BX51" i="11"/>
  <c r="BX53" i="11" s="1"/>
  <c r="AU21" i="11"/>
  <c r="AW8" i="11"/>
  <c r="W35" i="7"/>
  <c r="BG35" i="7"/>
  <c r="AU27" i="8"/>
  <c r="AU29" i="8" s="1"/>
  <c r="L32" i="8" s="1"/>
  <c r="BY8" i="8"/>
  <c r="CB8" i="8"/>
  <c r="M36" i="9"/>
  <c r="S24" i="9"/>
  <c r="AQ36" i="9"/>
  <c r="AQ42" i="9" s="1"/>
  <c r="BX38" i="9"/>
  <c r="BX40" i="9" s="1"/>
  <c r="BX42" i="9" s="1"/>
  <c r="BV14" i="9"/>
  <c r="BV24" i="9" s="1"/>
  <c r="BY21" i="10"/>
  <c r="BZ8" i="10"/>
  <c r="BZ26" i="10" s="1"/>
  <c r="BI36" i="10"/>
  <c r="BJ35" i="7"/>
  <c r="BA41" i="7"/>
  <c r="H8" i="8"/>
  <c r="H15" i="8" s="1"/>
  <c r="J15" i="8"/>
  <c r="BG27" i="8"/>
  <c r="BG29" i="8" s="1"/>
  <c r="X32" i="8" s="1"/>
  <c r="BP8" i="8"/>
  <c r="BP25" i="8"/>
  <c r="BP27" i="8" s="1"/>
  <c r="BP29" i="8" s="1"/>
  <c r="AG32" i="8" s="1"/>
  <c r="AK25" i="8"/>
  <c r="AK27" i="8" s="1"/>
  <c r="AK29" i="8" s="1"/>
  <c r="AJ30" i="8" s="1"/>
  <c r="AI25" i="8"/>
  <c r="AI27" i="8" s="1"/>
  <c r="AI29" i="8" s="1"/>
  <c r="AB40" i="9"/>
  <c r="BI38" i="9"/>
  <c r="BI40" i="9" s="1"/>
  <c r="BG14" i="9"/>
  <c r="CC14" i="9"/>
  <c r="AO35" i="7"/>
  <c r="K41" i="7"/>
  <c r="BU27" i="8"/>
  <c r="BU29" i="8" s="1"/>
  <c r="AJ32" i="8" s="1"/>
  <c r="AO12" i="8"/>
  <c r="AQ8" i="8"/>
  <c r="E25" i="9"/>
  <c r="BI34" i="9"/>
  <c r="BI36" i="9" s="1"/>
  <c r="BM8" i="9"/>
  <c r="BM24" i="9" s="1"/>
  <c r="BM36" i="9"/>
  <c r="BM42" i="9" s="1"/>
  <c r="V40" i="9"/>
  <c r="AH24" i="9"/>
  <c r="N8" i="11"/>
  <c r="N26" i="11" s="1"/>
  <c r="O26" i="11"/>
  <c r="BA47" i="11"/>
  <c r="BA49" i="11"/>
  <c r="BA55" i="11" s="1"/>
  <c r="BA8" i="11"/>
  <c r="BA26" i="11" s="1"/>
  <c r="Q51" i="11"/>
  <c r="Q53" i="11" s="1"/>
  <c r="Q55" i="11" s="1"/>
  <c r="AE8" i="11"/>
  <c r="BJ38" i="11"/>
  <c r="T38" i="11"/>
  <c r="AL38" i="11"/>
  <c r="BQ26" i="11"/>
  <c r="BP8" i="11"/>
  <c r="BP26" i="11" s="1"/>
  <c r="AA26" i="11"/>
  <c r="Z47" i="11"/>
  <c r="Z49" i="11" s="1"/>
  <c r="AF41" i="7"/>
  <c r="V36" i="9"/>
  <c r="V42" i="9" s="1"/>
  <c r="AB38" i="9"/>
  <c r="Z14" i="9"/>
  <c r="BR40" i="9"/>
  <c r="BR42" i="9" s="1"/>
  <c r="BD21" i="10"/>
  <c r="BE8" i="10"/>
  <c r="BD8" i="10" s="1"/>
  <c r="AW47" i="11"/>
  <c r="AV26" i="11"/>
  <c r="BX47" i="11"/>
  <c r="BX49" i="11" s="1"/>
  <c r="BV8" i="11"/>
  <c r="BV26" i="11" s="1"/>
  <c r="V51" i="11"/>
  <c r="V53" i="11" s="1"/>
  <c r="V55" i="11" s="1"/>
  <c r="T15" i="11"/>
  <c r="BJ51" i="11"/>
  <c r="BJ53" i="11" s="1"/>
  <c r="BJ55" i="11" s="1"/>
  <c r="BL51" i="11"/>
  <c r="BL53" i="11" s="1"/>
  <c r="H25" i="8"/>
  <c r="H27" i="8" s="1"/>
  <c r="H29" i="8" s="1"/>
  <c r="Z25" i="8"/>
  <c r="Z27" i="8" s="1"/>
  <c r="Z29" i="8" s="1"/>
  <c r="AB25" i="8"/>
  <c r="AB27" i="8" s="1"/>
  <c r="AB29" i="8" s="1"/>
  <c r="AA30" i="8" s="1"/>
  <c r="Z8" i="8"/>
  <c r="BJ25" i="8"/>
  <c r="BJ27" i="8" s="1"/>
  <c r="BJ29" i="8" s="1"/>
  <c r="AA32" i="8" s="1"/>
  <c r="BJ8" i="8"/>
  <c r="C25" i="9"/>
  <c r="W8" i="9"/>
  <c r="W36" i="9"/>
  <c r="W42" i="9" s="1"/>
  <c r="BG8" i="9"/>
  <c r="BO34" i="9"/>
  <c r="CA34" i="9"/>
  <c r="CA36" i="9" s="1"/>
  <c r="CA42" i="9" s="1"/>
  <c r="AH38" i="9"/>
  <c r="AH40" i="9" s="1"/>
  <c r="AF40" i="9"/>
  <c r="AT40" i="9"/>
  <c r="AT42" i="9" s="1"/>
  <c r="BG40" i="9"/>
  <c r="BS14" i="9"/>
  <c r="BU38" i="9"/>
  <c r="BU40" i="9" s="1"/>
  <c r="BS40" i="9"/>
  <c r="AF8" i="10"/>
  <c r="M47" i="11"/>
  <c r="M49" i="11" s="1"/>
  <c r="BK26" i="11"/>
  <c r="CB8" i="11"/>
  <c r="Q15" i="11"/>
  <c r="BC51" i="11"/>
  <c r="BC53" i="11" s="1"/>
  <c r="BC55" i="11" s="1"/>
  <c r="BN26" i="11"/>
  <c r="BM15" i="11"/>
  <c r="BM26" i="11" s="1"/>
  <c r="BT15" i="12"/>
  <c r="BM54" i="14"/>
  <c r="BN14" i="14"/>
  <c r="BM57" i="14" s="1"/>
  <c r="BI52" i="14"/>
  <c r="CA52" i="14"/>
  <c r="CA59" i="14" s="1"/>
  <c r="CA20" i="14"/>
  <c r="BV33" i="10"/>
  <c r="H38" i="11"/>
  <c r="BJ40" i="12"/>
  <c r="R26" i="13"/>
  <c r="U8" i="14"/>
  <c r="T52" i="14" s="1"/>
  <c r="T59" i="14" s="1"/>
  <c r="U21" i="14"/>
  <c r="AQ15" i="11"/>
  <c r="AO23" i="11"/>
  <c r="AL31" i="11"/>
  <c r="BD31" i="11"/>
  <c r="K31" i="11"/>
  <c r="Y53" i="11"/>
  <c r="Y55" i="11" s="1"/>
  <c r="BY40" i="13"/>
  <c r="W8" i="10"/>
  <c r="M15" i="10"/>
  <c r="M26" i="10" s="1"/>
  <c r="AO33" i="10"/>
  <c r="BP33" i="10"/>
  <c r="CC33" i="10"/>
  <c r="Y26" i="11"/>
  <c r="AH47" i="11"/>
  <c r="AH49" i="11" s="1"/>
  <c r="AH55" i="11" s="1"/>
  <c r="AF8" i="11"/>
  <c r="AF26" i="11" s="1"/>
  <c r="M15" i="11"/>
  <c r="K23" i="11"/>
  <c r="BD38" i="11"/>
  <c r="BV38" i="11"/>
  <c r="AU38" i="11"/>
  <c r="BX43" i="12"/>
  <c r="CC34" i="12"/>
  <c r="BX8" i="12"/>
  <c r="BD15" i="13"/>
  <c r="AR40" i="13"/>
  <c r="AS8" i="14"/>
  <c r="AS20" i="14" s="1"/>
  <c r="BV45" i="14"/>
  <c r="AJ15" i="10"/>
  <c r="AW26" i="10"/>
  <c r="CC31" i="10"/>
  <c r="P15" i="10"/>
  <c r="P26" i="10" s="1"/>
  <c r="Y15" i="10"/>
  <c r="AH15" i="10"/>
  <c r="AQ15" i="10"/>
  <c r="AO40" i="10" s="1"/>
  <c r="AZ15" i="10"/>
  <c r="BI15" i="10"/>
  <c r="BI26" i="10" s="1"/>
  <c r="BR15" i="10"/>
  <c r="BP15" i="10" s="1"/>
  <c r="CC32" i="10"/>
  <c r="I26" i="11"/>
  <c r="BI47" i="11"/>
  <c r="BF51" i="11"/>
  <c r="BF53" i="11" s="1"/>
  <c r="AZ8" i="11"/>
  <c r="BI8" i="11"/>
  <c r="H31" i="11"/>
  <c r="Z53" i="11"/>
  <c r="AB51" i="11"/>
  <c r="AB53" i="11" s="1"/>
  <c r="AB55" i="11" s="1"/>
  <c r="Z15" i="11"/>
  <c r="Z26" i="11" s="1"/>
  <c r="BM38" i="11"/>
  <c r="H53" i="11"/>
  <c r="H55" i="11" s="1"/>
  <c r="AC31" i="13"/>
  <c r="AU31" i="13"/>
  <c r="BA31" i="13"/>
  <c r="BZ8" i="14"/>
  <c r="BY8" i="14" s="1"/>
  <c r="BY9" i="14"/>
  <c r="Q15" i="14"/>
  <c r="S14" i="14"/>
  <c r="S57" i="14" s="1"/>
  <c r="Z31" i="10"/>
  <c r="CB32" i="10"/>
  <c r="H33" i="10"/>
  <c r="X15" i="10"/>
  <c r="X26" i="10" s="1"/>
  <c r="BJ33" i="10"/>
  <c r="AR51" i="11"/>
  <c r="AR53" i="11"/>
  <c r="AT15" i="11"/>
  <c r="K38" i="11"/>
  <c r="AR38" i="11"/>
  <c r="BY21" i="12"/>
  <c r="CB21" i="12"/>
  <c r="BJ34" i="12"/>
  <c r="AZ8" i="12"/>
  <c r="BZ8" i="12"/>
  <c r="C27" i="12" s="1"/>
  <c r="BG8" i="13"/>
  <c r="BG26" i="13" s="1"/>
  <c r="W23" i="13"/>
  <c r="Y15" i="13"/>
  <c r="BY23" i="13"/>
  <c r="CC23" i="13"/>
  <c r="AI8" i="13"/>
  <c r="AJ26" i="13"/>
  <c r="N31" i="13"/>
  <c r="H43" i="14"/>
  <c r="Z43" i="14"/>
  <c r="Z45" i="14" s="1"/>
  <c r="AR43" i="14"/>
  <c r="BJ43" i="14"/>
  <c r="T44" i="14"/>
  <c r="AO15" i="14"/>
  <c r="AO21" i="14" s="1"/>
  <c r="AP14" i="14"/>
  <c r="BM31" i="11"/>
  <c r="AX38" i="11"/>
  <c r="T40" i="12"/>
  <c r="BF40" i="12"/>
  <c r="BD39" i="12"/>
  <c r="BD40" i="12" s="1"/>
  <c r="L15" i="12"/>
  <c r="AM15" i="12"/>
  <c r="BD25" i="13"/>
  <c r="J8" i="13"/>
  <c r="AZ8" i="13"/>
  <c r="V15" i="13"/>
  <c r="T23" i="13"/>
  <c r="AK15" i="13"/>
  <c r="N8" i="13"/>
  <c r="N26" i="13" s="1"/>
  <c r="BD31" i="13"/>
  <c r="BP40" i="13"/>
  <c r="AO8" i="14"/>
  <c r="P9" i="14"/>
  <c r="AM21" i="14"/>
  <c r="AM8" i="14"/>
  <c r="AM20" i="14" s="1"/>
  <c r="BT14" i="14"/>
  <c r="BS57" i="14" s="1"/>
  <c r="BV54" i="14"/>
  <c r="BW14" i="14"/>
  <c r="M81" i="19"/>
  <c r="V81" i="19"/>
  <c r="V88" i="19" s="1"/>
  <c r="U89" i="19" s="1"/>
  <c r="AE81" i="19"/>
  <c r="AN81" i="19"/>
  <c r="M86" i="19"/>
  <c r="V86" i="19"/>
  <c r="AE86" i="19"/>
  <c r="AN86" i="19"/>
  <c r="BY48" i="13"/>
  <c r="CA40" i="13"/>
  <c r="CC40" i="13" s="1"/>
  <c r="BN20" i="14"/>
  <c r="Q21" i="14"/>
  <c r="BO21" i="14"/>
  <c r="BO8" i="14"/>
  <c r="BM15" i="14"/>
  <c r="BO14" i="14"/>
  <c r="BO57" i="14" s="1"/>
  <c r="AL44" i="14"/>
  <c r="AL45" i="14" s="1"/>
  <c r="BD44" i="14"/>
  <c r="BV44" i="14"/>
  <c r="H44" i="14"/>
  <c r="Z44" i="14"/>
  <c r="AR44" i="14"/>
  <c r="BJ44" i="14"/>
  <c r="BU15" i="11"/>
  <c r="BG34" i="12"/>
  <c r="BV34" i="12"/>
  <c r="AK8" i="12"/>
  <c r="AR40" i="12"/>
  <c r="BC15" i="12"/>
  <c r="AL25" i="13"/>
  <c r="AV26" i="13"/>
  <c r="BF8" i="13"/>
  <c r="CC21" i="13"/>
  <c r="BY21" i="13"/>
  <c r="CA8" i="13"/>
  <c r="BD23" i="13"/>
  <c r="BF15" i="13"/>
  <c r="Q31" i="13"/>
  <c r="AL31" i="13"/>
  <c r="N40" i="13"/>
  <c r="BJ40" i="13"/>
  <c r="BU59" i="14"/>
  <c r="BE21" i="14"/>
  <c r="BE8" i="14"/>
  <c r="BD52" i="14" s="1"/>
  <c r="AH45" i="14"/>
  <c r="AH9" i="14"/>
  <c r="AH21" i="14" s="1"/>
  <c r="AQ21" i="14"/>
  <c r="AQ8" i="14"/>
  <c r="AZ45" i="14"/>
  <c r="AZ9" i="14"/>
  <c r="CA21" i="14"/>
  <c r="Y45" i="14"/>
  <c r="AQ45" i="14"/>
  <c r="AQ15" i="14"/>
  <c r="AQ14" i="14" s="1"/>
  <c r="AQ57" i="14" s="1"/>
  <c r="BI45" i="14"/>
  <c r="BI15" i="14"/>
  <c r="BI14" i="14" s="1"/>
  <c r="BI57" i="14" s="1"/>
  <c r="BY15" i="14"/>
  <c r="BZ14" i="14"/>
  <c r="AR45" i="15"/>
  <c r="BJ45" i="15"/>
  <c r="H44" i="15"/>
  <c r="H45" i="15" s="1"/>
  <c r="Z44" i="15"/>
  <c r="Z45" i="15" s="1"/>
  <c r="AR44" i="15"/>
  <c r="BJ44" i="15"/>
  <c r="H49" i="16"/>
  <c r="H51" i="16" s="1"/>
  <c r="Z49" i="16"/>
  <c r="Z51" i="16" s="1"/>
  <c r="AR49" i="16"/>
  <c r="BJ49" i="16"/>
  <c r="BJ51" i="16" s="1"/>
  <c r="H50" i="16"/>
  <c r="Z50" i="16"/>
  <c r="AR50" i="16"/>
  <c r="BJ50" i="16"/>
  <c r="Q39" i="17"/>
  <c r="AI39" i="17"/>
  <c r="AI41" i="17" s="1"/>
  <c r="BA39" i="17"/>
  <c r="BS39" i="17"/>
  <c r="BQ8" i="12"/>
  <c r="T34" i="12"/>
  <c r="AI34" i="12"/>
  <c r="AU34" i="12"/>
  <c r="AD8" i="12"/>
  <c r="AT8" i="12"/>
  <c r="AX8" i="13"/>
  <c r="AX26" i="13" s="1"/>
  <c r="Q21" i="13"/>
  <c r="S8" i="13"/>
  <c r="Q8" i="13" s="1"/>
  <c r="Q26" i="13" s="1"/>
  <c r="BD8" i="13"/>
  <c r="BD26" i="13" s="1"/>
  <c r="AI31" i="13"/>
  <c r="AC15" i="13"/>
  <c r="AC26" i="13" s="1"/>
  <c r="AK59" i="14"/>
  <c r="BW20" i="14"/>
  <c r="BG9" i="14"/>
  <c r="BH8" i="14"/>
  <c r="BG8" i="14" s="1"/>
  <c r="BS9" i="14"/>
  <c r="BS21" i="14" s="1"/>
  <c r="BT8" i="14"/>
  <c r="BS8" i="14" s="1"/>
  <c r="O21" i="14"/>
  <c r="BK9" i="14"/>
  <c r="BK8" i="14" s="1"/>
  <c r="BJ52" i="14" s="1"/>
  <c r="T54" i="14"/>
  <c r="K44" i="14"/>
  <c r="AC44" i="14"/>
  <c r="AB59" i="14"/>
  <c r="I21" i="14"/>
  <c r="AB21" i="14"/>
  <c r="AK21" i="14"/>
  <c r="BA9" i="14"/>
  <c r="BA21" i="14" s="1"/>
  <c r="BW21" i="14"/>
  <c r="AI15" i="14"/>
  <c r="BA15" i="14"/>
  <c r="W43" i="14"/>
  <c r="AO43" i="14"/>
  <c r="BG43" i="14"/>
  <c r="BY43" i="14"/>
  <c r="Q44" i="14"/>
  <c r="BD45" i="15"/>
  <c r="X51" i="16"/>
  <c r="K52" i="19"/>
  <c r="AC52" i="19"/>
  <c r="K51" i="19"/>
  <c r="AC51" i="19"/>
  <c r="W74" i="19"/>
  <c r="W73" i="19"/>
  <c r="AO73" i="19"/>
  <c r="AO74" i="19" s="1"/>
  <c r="W9" i="14"/>
  <c r="AY21" i="14"/>
  <c r="AC15" i="14"/>
  <c r="CB44" i="14"/>
  <c r="K45" i="15"/>
  <c r="BM45" i="15"/>
  <c r="AG45" i="14"/>
  <c r="AY45" i="14"/>
  <c r="BQ45" i="14"/>
  <c r="E25" i="15"/>
  <c r="N45" i="15"/>
  <c r="BP45" i="15"/>
  <c r="W49" i="16"/>
  <c r="AO49" i="16"/>
  <c r="BG49" i="16"/>
  <c r="BG51" i="16" s="1"/>
  <c r="BY49" i="16"/>
  <c r="BY51" i="16" s="1"/>
  <c r="W50" i="16"/>
  <c r="AO50" i="16"/>
  <c r="BG50" i="16"/>
  <c r="BY50" i="16"/>
  <c r="BZ51" i="16"/>
  <c r="W52" i="17"/>
  <c r="AO52" i="17"/>
  <c r="AO54" i="17" s="1"/>
  <c r="BG52" i="17"/>
  <c r="BY52" i="17"/>
  <c r="Q53" i="17"/>
  <c r="AI53" i="17"/>
  <c r="AI54" i="17" s="1"/>
  <c r="BA53" i="17"/>
  <c r="BS53" i="17"/>
  <c r="BS54" i="17" s="1"/>
  <c r="Q25" i="19"/>
  <c r="AI25" i="19"/>
  <c r="Q26" i="19"/>
  <c r="AI26" i="19"/>
  <c r="Q27" i="19"/>
  <c r="AI27" i="19"/>
  <c r="AA52" i="19"/>
  <c r="AJ52" i="19"/>
  <c r="N112" i="19"/>
  <c r="AF112" i="19"/>
  <c r="N113" i="19"/>
  <c r="AF113" i="19"/>
  <c r="N114" i="19"/>
  <c r="AF114" i="19"/>
  <c r="AF139" i="19"/>
  <c r="N138" i="19"/>
  <c r="N139" i="19" s="1"/>
  <c r="AF138" i="19"/>
  <c r="BY22" i="15"/>
  <c r="Q23" i="15"/>
  <c r="AI23" i="15"/>
  <c r="BA23" i="15"/>
  <c r="BS23" i="15"/>
  <c r="J45" i="15"/>
  <c r="P45" i="15"/>
  <c r="AD45" i="15"/>
  <c r="AK45" i="15"/>
  <c r="AQ45" i="15"/>
  <c r="BE45" i="15"/>
  <c r="BL45" i="15"/>
  <c r="BR45" i="15"/>
  <c r="O60" i="15"/>
  <c r="X60" i="15"/>
  <c r="AG60" i="15"/>
  <c r="AP60" i="15"/>
  <c r="AY60" i="15"/>
  <c r="BH60" i="15"/>
  <c r="BR59" i="15"/>
  <c r="BQ60" i="15" s="1"/>
  <c r="CA59" i="15"/>
  <c r="BZ60" i="15" s="1"/>
  <c r="W26" i="16"/>
  <c r="AO26" i="16"/>
  <c r="BG26" i="16"/>
  <c r="BY26" i="16"/>
  <c r="Q28" i="16"/>
  <c r="AI28" i="16"/>
  <c r="BA28" i="16"/>
  <c r="BS28" i="16"/>
  <c r="K49" i="16"/>
  <c r="AC49" i="16"/>
  <c r="AC51" i="16" s="1"/>
  <c r="AU49" i="16"/>
  <c r="BM49" i="16"/>
  <c r="K50" i="16"/>
  <c r="AC50" i="16"/>
  <c r="AU50" i="16"/>
  <c r="BM50" i="16"/>
  <c r="AW51" i="16"/>
  <c r="H65" i="16"/>
  <c r="R66" i="16"/>
  <c r="AA66" i="16"/>
  <c r="AJ66" i="16"/>
  <c r="AS66" i="16"/>
  <c r="BB66" i="16"/>
  <c r="BK66" i="16"/>
  <c r="J65" i="16"/>
  <c r="E30" i="19"/>
  <c r="B30" i="19" s="1"/>
  <c r="AU44" i="14"/>
  <c r="BM44" i="14"/>
  <c r="BL45" i="14"/>
  <c r="S45" i="14"/>
  <c r="CA45" i="14"/>
  <c r="H22" i="15"/>
  <c r="Z22" i="15"/>
  <c r="AR22" i="15"/>
  <c r="BJ22" i="15"/>
  <c r="T23" i="15"/>
  <c r="AL23" i="15"/>
  <c r="BD23" i="15"/>
  <c r="BV23" i="15"/>
  <c r="C25" i="15"/>
  <c r="R45" i="15"/>
  <c r="X45" i="15"/>
  <c r="AE45" i="15"/>
  <c r="AS45" i="15"/>
  <c r="AY45" i="15"/>
  <c r="BF45" i="15"/>
  <c r="BT45" i="15"/>
  <c r="BZ45" i="15"/>
  <c r="H26" i="16"/>
  <c r="Z26" i="16"/>
  <c r="AR26" i="16"/>
  <c r="BJ26" i="16"/>
  <c r="T28" i="16"/>
  <c r="AL28" i="16"/>
  <c r="BD28" i="16"/>
  <c r="BV28" i="16"/>
  <c r="BP49" i="16"/>
  <c r="N50" i="16"/>
  <c r="AF50" i="16"/>
  <c r="AX50" i="16"/>
  <c r="BP50" i="16"/>
  <c r="BP51" i="16" s="1"/>
  <c r="AP51" i="16"/>
  <c r="CB50" i="16"/>
  <c r="AA51" i="16"/>
  <c r="W39" i="17"/>
  <c r="AO39" i="17"/>
  <c r="AO41" i="17" s="1"/>
  <c r="BG39" i="17"/>
  <c r="BG41" i="17" s="1"/>
  <c r="BY39" i="17"/>
  <c r="W40" i="17"/>
  <c r="AO40" i="17"/>
  <c r="BG40" i="17"/>
  <c r="BY40" i="17"/>
  <c r="Q40" i="17"/>
  <c r="AI40" i="17"/>
  <c r="BA40" i="17"/>
  <c r="BA41" i="17" s="1"/>
  <c r="BS40" i="17"/>
  <c r="J41" i="17"/>
  <c r="Q52" i="19"/>
  <c r="Q51" i="19"/>
  <c r="AI51" i="19"/>
  <c r="AI52" i="19" s="1"/>
  <c r="P81" i="19"/>
  <c r="Y81" i="19"/>
  <c r="AH81" i="19"/>
  <c r="AH88" i="19" s="1"/>
  <c r="AQ81" i="19"/>
  <c r="AQ88" i="19" s="1"/>
  <c r="P86" i="19"/>
  <c r="Y86" i="19"/>
  <c r="AH86" i="19"/>
  <c r="AQ86" i="19"/>
  <c r="N168" i="19"/>
  <c r="N175" i="19" s="1"/>
  <c r="W168" i="19"/>
  <c r="W175" i="19" s="1"/>
  <c r="AF168" i="19"/>
  <c r="AF175" i="19" s="1"/>
  <c r="AO168" i="19"/>
  <c r="AO175" i="19" s="1"/>
  <c r="M173" i="19"/>
  <c r="V173" i="19"/>
  <c r="AE173" i="19"/>
  <c r="AN173" i="19"/>
  <c r="BW45" i="14"/>
  <c r="Q45" i="15"/>
  <c r="BS45" i="15"/>
  <c r="Q44" i="15"/>
  <c r="AI44" i="15"/>
  <c r="AI45" i="15" s="1"/>
  <c r="BA44" i="15"/>
  <c r="BA45" i="15" s="1"/>
  <c r="BS44" i="15"/>
  <c r="E30" i="16"/>
  <c r="Q49" i="16"/>
  <c r="Q51" i="16" s="1"/>
  <c r="AI49" i="16"/>
  <c r="AI51" i="16" s="1"/>
  <c r="BA49" i="16"/>
  <c r="BS49" i="16"/>
  <c r="BS51" i="16" s="1"/>
  <c r="Q50" i="16"/>
  <c r="AI50" i="16"/>
  <c r="BA50" i="16"/>
  <c r="BS50" i="16"/>
  <c r="M51" i="16"/>
  <c r="T51" i="16"/>
  <c r="AY51" i="16"/>
  <c r="BO51" i="16"/>
  <c r="C29" i="17"/>
  <c r="Q54" i="17"/>
  <c r="BA54" i="17"/>
  <c r="BE69" i="17"/>
  <c r="BW69" i="17"/>
  <c r="K25" i="19"/>
  <c r="AC25" i="19"/>
  <c r="K26" i="19"/>
  <c r="AC26" i="19"/>
  <c r="K27" i="19"/>
  <c r="AC27" i="19"/>
  <c r="H112" i="19"/>
  <c r="Z112" i="19"/>
  <c r="H113" i="19"/>
  <c r="Z113" i="19"/>
  <c r="H114" i="19"/>
  <c r="Z114" i="19"/>
  <c r="H138" i="19"/>
  <c r="H139" i="19" s="1"/>
  <c r="Z138" i="19"/>
  <c r="Z139" i="19" s="1"/>
  <c r="AI44" i="14"/>
  <c r="BA44" i="14"/>
  <c r="BS44" i="14"/>
  <c r="AN45" i="14"/>
  <c r="BF45" i="14"/>
  <c r="BX45" i="14"/>
  <c r="M45" i="14"/>
  <c r="AE45" i="14"/>
  <c r="BU45" i="14"/>
  <c r="N22" i="15"/>
  <c r="AF22" i="15"/>
  <c r="AX22" i="15"/>
  <c r="BP22" i="15"/>
  <c r="H23" i="15"/>
  <c r="Z23" i="15"/>
  <c r="AR23" i="15"/>
  <c r="BJ23" i="15"/>
  <c r="M45" i="15"/>
  <c r="CC45" i="15" s="1"/>
  <c r="AA45" i="15"/>
  <c r="AG45" i="15"/>
  <c r="CB45" i="15" s="1"/>
  <c r="AN45" i="15"/>
  <c r="BB45" i="15"/>
  <c r="BH45" i="15"/>
  <c r="BO45" i="15"/>
  <c r="BM59" i="15"/>
  <c r="BV59" i="15"/>
  <c r="BW60" i="15" s="1"/>
  <c r="N26" i="16"/>
  <c r="AF26" i="16"/>
  <c r="AX26" i="16"/>
  <c r="BP26" i="16"/>
  <c r="H28" i="16"/>
  <c r="Z28" i="16"/>
  <c r="AR28" i="16"/>
  <c r="BJ28" i="16"/>
  <c r="T50" i="16"/>
  <c r="AL50" i="16"/>
  <c r="AL51" i="16" s="1"/>
  <c r="BD50" i="16"/>
  <c r="BV50" i="16"/>
  <c r="BV51" i="16" s="1"/>
  <c r="AZ51" i="16"/>
  <c r="BQ51" i="16"/>
  <c r="C30" i="17"/>
  <c r="AQ52" i="19"/>
  <c r="Q74" i="19"/>
  <c r="AI74" i="19"/>
  <c r="Q73" i="19"/>
  <c r="AI73" i="19"/>
  <c r="M74" i="19"/>
  <c r="V74" i="19"/>
  <c r="H168" i="19"/>
  <c r="H175" i="19" s="1"/>
  <c r="Q168" i="19"/>
  <c r="Q175" i="19" s="1"/>
  <c r="Z168" i="19"/>
  <c r="Z175" i="19" s="1"/>
  <c r="AI168" i="19"/>
  <c r="AI175" i="19" s="1"/>
  <c r="AQ175" i="19"/>
  <c r="P173" i="19"/>
  <c r="Y173" i="19"/>
  <c r="AH173" i="19"/>
  <c r="AQ173" i="19"/>
  <c r="BH51" i="16"/>
  <c r="CC50" i="16"/>
  <c r="H39" i="17"/>
  <c r="H41" i="17" s="1"/>
  <c r="Z39" i="17"/>
  <c r="AR39" i="17"/>
  <c r="AR41" i="17" s="1"/>
  <c r="BJ39" i="17"/>
  <c r="H40" i="17"/>
  <c r="Z40" i="17"/>
  <c r="AR40" i="17"/>
  <c r="BJ40" i="17"/>
  <c r="S41" i="17"/>
  <c r="AB41" i="17"/>
  <c r="AJ41" i="17"/>
  <c r="AS41" i="17"/>
  <c r="H52" i="17"/>
  <c r="H54" i="17" s="1"/>
  <c r="Z52" i="17"/>
  <c r="Z54" i="17" s="1"/>
  <c r="AR52" i="17"/>
  <c r="AR54" i="17" s="1"/>
  <c r="BJ52" i="17"/>
  <c r="BJ54" i="17" s="1"/>
  <c r="T53" i="17"/>
  <c r="AL53" i="17"/>
  <c r="BD53" i="17"/>
  <c r="BV53" i="17"/>
  <c r="AR68" i="17"/>
  <c r="AS69" i="17" s="1"/>
  <c r="BS68" i="17"/>
  <c r="BT69" i="17" s="1"/>
  <c r="AR66" i="17"/>
  <c r="BA66" i="17"/>
  <c r="BA68" i="17" s="1"/>
  <c r="BB69" i="17" s="1"/>
  <c r="BJ66" i="17"/>
  <c r="BJ68" i="17" s="1"/>
  <c r="BK69" i="17" s="1"/>
  <c r="BS66" i="17"/>
  <c r="T25" i="19"/>
  <c r="AL25" i="19"/>
  <c r="T26" i="19"/>
  <c r="AL26" i="19"/>
  <c r="T27" i="19"/>
  <c r="AL27" i="19"/>
  <c r="AL52" i="19"/>
  <c r="T51" i="19"/>
  <c r="T52" i="19" s="1"/>
  <c r="AL51" i="19"/>
  <c r="O52" i="19"/>
  <c r="AE52" i="19"/>
  <c r="AN52" i="19"/>
  <c r="H74" i="19"/>
  <c r="H73" i="19"/>
  <c r="Z73" i="19"/>
  <c r="Z74" i="19" s="1"/>
  <c r="I74" i="19"/>
  <c r="R74" i="19"/>
  <c r="AH74" i="19"/>
  <c r="AP74" i="19"/>
  <c r="H81" i="19"/>
  <c r="H88" i="19" s="1"/>
  <c r="Q81" i="19"/>
  <c r="Q88" i="19" s="1"/>
  <c r="Z81" i="19"/>
  <c r="Z88" i="19" s="1"/>
  <c r="AI81" i="19"/>
  <c r="AI88" i="19" s="1"/>
  <c r="Q112" i="19"/>
  <c r="AI112" i="19"/>
  <c r="Q113" i="19"/>
  <c r="AI113" i="19"/>
  <c r="Q114" i="19"/>
  <c r="AI114" i="19"/>
  <c r="E29" i="19"/>
  <c r="B29" i="19" s="1"/>
  <c r="AI139" i="19"/>
  <c r="Q138" i="19"/>
  <c r="Q139" i="19" s="1"/>
  <c r="AI138" i="19"/>
  <c r="J168" i="19"/>
  <c r="J175" i="19" s="1"/>
  <c r="I176" i="19" s="1"/>
  <c r="S168" i="19"/>
  <c r="S175" i="19" s="1"/>
  <c r="R176" i="19" s="1"/>
  <c r="AB168" i="19"/>
  <c r="AK168" i="19"/>
  <c r="BI51" i="16"/>
  <c r="CC51" i="16" s="1"/>
  <c r="U51" i="16"/>
  <c r="AM51" i="16"/>
  <c r="E29" i="17"/>
  <c r="K39" i="17"/>
  <c r="K41" i="17" s="1"/>
  <c r="AC39" i="17"/>
  <c r="AU39" i="17"/>
  <c r="AU41" i="17" s="1"/>
  <c r="BM39" i="17"/>
  <c r="K40" i="17"/>
  <c r="AC40" i="17"/>
  <c r="AU40" i="17"/>
  <c r="BM40" i="17"/>
  <c r="M41" i="17"/>
  <c r="AK41" i="17"/>
  <c r="AT41" i="17"/>
  <c r="BB41" i="17"/>
  <c r="BK41" i="17"/>
  <c r="P52" i="19"/>
  <c r="X52" i="19"/>
  <c r="AG52" i="19"/>
  <c r="AC74" i="19"/>
  <c r="K73" i="19"/>
  <c r="K74" i="19" s="1"/>
  <c r="AC73" i="19"/>
  <c r="J74" i="19"/>
  <c r="S74" i="19"/>
  <c r="AA74" i="19"/>
  <c r="AJ74" i="19"/>
  <c r="J81" i="19"/>
  <c r="J88" i="19" s="1"/>
  <c r="I89" i="19" s="1"/>
  <c r="S81" i="19"/>
  <c r="AB81" i="19"/>
  <c r="AB88" i="19" s="1"/>
  <c r="AA89" i="19" s="1"/>
  <c r="AK81" i="19"/>
  <c r="J86" i="19"/>
  <c r="S86" i="19"/>
  <c r="S88" i="19" s="1"/>
  <c r="R89" i="19" s="1"/>
  <c r="AB86" i="19"/>
  <c r="AK86" i="19"/>
  <c r="T112" i="19"/>
  <c r="AL112" i="19"/>
  <c r="T113" i="19"/>
  <c r="AL113" i="19"/>
  <c r="T114" i="19"/>
  <c r="AL114" i="19"/>
  <c r="T139" i="19"/>
  <c r="T138" i="19"/>
  <c r="AL138" i="19"/>
  <c r="AL139" i="19" s="1"/>
  <c r="K168" i="19"/>
  <c r="K175" i="19" s="1"/>
  <c r="L176" i="19" s="1"/>
  <c r="T168" i="19"/>
  <c r="AC168" i="19"/>
  <c r="AC175" i="19" s="1"/>
  <c r="AL168" i="19"/>
  <c r="J173" i="19"/>
  <c r="S173" i="19"/>
  <c r="AB173" i="19"/>
  <c r="AB175" i="19" s="1"/>
  <c r="AA176" i="19" s="1"/>
  <c r="AK173" i="19"/>
  <c r="N39" i="17"/>
  <c r="N41" i="17" s="1"/>
  <c r="AF39" i="17"/>
  <c r="AX39" i="17"/>
  <c r="BP39" i="17"/>
  <c r="BP41" i="17" s="1"/>
  <c r="N40" i="17"/>
  <c r="AF40" i="17"/>
  <c r="AX40" i="17"/>
  <c r="BP40" i="17"/>
  <c r="V41" i="17"/>
  <c r="AE41" i="17"/>
  <c r="BC41" i="17"/>
  <c r="BL41" i="17"/>
  <c r="AL68" i="17"/>
  <c r="AM69" i="17" s="1"/>
  <c r="BD68" i="17"/>
  <c r="BM68" i="17"/>
  <c r="BN69" i="17" s="1"/>
  <c r="BV68" i="17"/>
  <c r="AL66" i="17"/>
  <c r="AU66" i="17"/>
  <c r="AU68" i="17" s="1"/>
  <c r="AV69" i="17" s="1"/>
  <c r="BD66" i="17"/>
  <c r="BM66" i="17"/>
  <c r="BV66" i="17"/>
  <c r="H25" i="19"/>
  <c r="Z25" i="19"/>
  <c r="H26" i="19"/>
  <c r="Z26" i="19"/>
  <c r="H27" i="19"/>
  <c r="Z27" i="19"/>
  <c r="E28" i="19"/>
  <c r="B28" i="19" s="1"/>
  <c r="H52" i="19"/>
  <c r="Z52" i="19"/>
  <c r="H51" i="19"/>
  <c r="Z51" i="19"/>
  <c r="N74" i="19"/>
  <c r="N73" i="19"/>
  <c r="AF73" i="19"/>
  <c r="AF74" i="19" s="1"/>
  <c r="K81" i="19"/>
  <c r="K88" i="19" s="1"/>
  <c r="T81" i="19"/>
  <c r="T88" i="19" s="1"/>
  <c r="AC81" i="19"/>
  <c r="AC88" i="19" s="1"/>
  <c r="AL81" i="19"/>
  <c r="AL88" i="19" s="1"/>
  <c r="M168" i="19"/>
  <c r="M175" i="19" s="1"/>
  <c r="V168" i="19"/>
  <c r="V175" i="19" s="1"/>
  <c r="U176" i="19" s="1"/>
  <c r="AE168" i="19"/>
  <c r="AN168" i="19"/>
  <c r="T39" i="17"/>
  <c r="T41" i="17" s="1"/>
  <c r="AL39" i="17"/>
  <c r="AL41" i="17" s="1"/>
  <c r="BD39" i="17"/>
  <c r="BV39" i="17"/>
  <c r="BV41" i="17" s="1"/>
  <c r="T40" i="17"/>
  <c r="AL40" i="17"/>
  <c r="BD40" i="17"/>
  <c r="BV40" i="17"/>
  <c r="I41" i="17"/>
  <c r="BF41" i="17"/>
  <c r="BO41" i="17"/>
  <c r="T52" i="17"/>
  <c r="T54" i="17" s="1"/>
  <c r="AL52" i="17"/>
  <c r="AL54" i="17" s="1"/>
  <c r="BD52" i="17"/>
  <c r="BD54" i="17" s="1"/>
  <c r="BV52" i="17"/>
  <c r="BV54" i="17" s="1"/>
  <c r="N53" i="17"/>
  <c r="N54" i="17" s="1"/>
  <c r="AF53" i="17"/>
  <c r="AX53" i="17"/>
  <c r="AX54" i="17" s="1"/>
  <c r="BP53" i="17"/>
  <c r="BP54" i="17" s="1"/>
  <c r="AO68" i="17"/>
  <c r="AP69" i="17" s="1"/>
  <c r="BG68" i="17"/>
  <c r="BH69" i="17" s="1"/>
  <c r="BY68" i="17"/>
  <c r="BZ69" i="17" s="1"/>
  <c r="AO66" i="17"/>
  <c r="AX66" i="17"/>
  <c r="AX68" i="17" s="1"/>
  <c r="AY69" i="17" s="1"/>
  <c r="BG66" i="17"/>
  <c r="BP66" i="17"/>
  <c r="BP68" i="17" s="1"/>
  <c r="BQ69" i="17" s="1"/>
  <c r="BY66" i="17"/>
  <c r="N25" i="19"/>
  <c r="AF25" i="19"/>
  <c r="N26" i="19"/>
  <c r="AF26" i="19"/>
  <c r="N27" i="19"/>
  <c r="AF27" i="19"/>
  <c r="AF52" i="19"/>
  <c r="N51" i="19"/>
  <c r="N52" i="19" s="1"/>
  <c r="AF51" i="19"/>
  <c r="T74" i="19"/>
  <c r="T73" i="19"/>
  <c r="AL73" i="19"/>
  <c r="AL74" i="19" s="1"/>
  <c r="N81" i="19"/>
  <c r="W81" i="19"/>
  <c r="AF81" i="19"/>
  <c r="AO81" i="19"/>
  <c r="K112" i="19"/>
  <c r="AC112" i="19"/>
  <c r="K113" i="19"/>
  <c r="AC113" i="19"/>
  <c r="K114" i="19"/>
  <c r="AC114" i="19"/>
  <c r="AC139" i="19"/>
  <c r="K138" i="19"/>
  <c r="K139" i="19" s="1"/>
  <c r="AC138" i="19"/>
  <c r="P168" i="19"/>
  <c r="P175" i="19" s="1"/>
  <c r="O176" i="19" s="1"/>
  <c r="Y168" i="19"/>
  <c r="Y175" i="19" s="1"/>
  <c r="AH168" i="19"/>
  <c r="AP89" i="19"/>
  <c r="N88" i="19"/>
  <c r="W88" i="19"/>
  <c r="AF88" i="19"/>
  <c r="AG89" i="19" s="1"/>
  <c r="AO88" i="19"/>
  <c r="T175" i="19"/>
  <c r="AL175" i="19"/>
  <c r="AK88" i="19"/>
  <c r="AJ89" i="19" s="1"/>
  <c r="W112" i="19"/>
  <c r="AO112" i="19"/>
  <c r="W113" i="19"/>
  <c r="AO113" i="19"/>
  <c r="W114" i="19"/>
  <c r="AO114" i="19"/>
  <c r="W138" i="19"/>
  <c r="W139" i="19" s="1"/>
  <c r="AO138" i="19"/>
  <c r="AO139" i="19" s="1"/>
  <c r="M88" i="19"/>
  <c r="L89" i="19" s="1"/>
  <c r="AE88" i="19"/>
  <c r="AN88" i="19"/>
  <c r="AM89" i="19" s="1"/>
  <c r="AK175" i="19"/>
  <c r="AJ176" i="19" s="1"/>
  <c r="AF54" i="17"/>
  <c r="CB41" i="17"/>
  <c r="Q41" i="17"/>
  <c r="W54" i="17"/>
  <c r="BG54" i="17"/>
  <c r="BY54" i="17"/>
  <c r="CB54" i="17"/>
  <c r="BS41" i="17"/>
  <c r="I69" i="17"/>
  <c r="R69" i="17"/>
  <c r="AA69" i="17"/>
  <c r="AJ69" i="17"/>
  <c r="AX51" i="16"/>
  <c r="I66" i="16"/>
  <c r="N51" i="16"/>
  <c r="L66" i="16"/>
  <c r="U66" i="16"/>
  <c r="AD66" i="16"/>
  <c r="AM66" i="16"/>
  <c r="AV66" i="16"/>
  <c r="BE66" i="16"/>
  <c r="BN66" i="16"/>
  <c r="BW66" i="16"/>
  <c r="AF51" i="16"/>
  <c r="O66" i="16"/>
  <c r="X66" i="16"/>
  <c r="AG66" i="16"/>
  <c r="AP66" i="16"/>
  <c r="AY66" i="16"/>
  <c r="BH66" i="16"/>
  <c r="BQ66" i="16"/>
  <c r="BZ66" i="16"/>
  <c r="BD51" i="16"/>
  <c r="BT66" i="16"/>
  <c r="I51" i="16"/>
  <c r="CB51" i="16" s="1"/>
  <c r="CC49" i="16"/>
  <c r="BJ59" i="15"/>
  <c r="BK60" i="15" s="1"/>
  <c r="U60" i="15"/>
  <c r="AD60" i="15"/>
  <c r="AM60" i="15"/>
  <c r="AV60" i="15"/>
  <c r="BE60" i="15"/>
  <c r="BN60" i="15"/>
  <c r="AI21" i="14"/>
  <c r="BD59" i="14"/>
  <c r="AC52" i="14"/>
  <c r="AC59" i="14" s="1"/>
  <c r="AD20" i="14"/>
  <c r="AV20" i="14"/>
  <c r="AU52" i="14"/>
  <c r="AU59" i="14" s="1"/>
  <c r="M49" i="14"/>
  <c r="L21" i="14"/>
  <c r="K49" i="14"/>
  <c r="AW49" i="14"/>
  <c r="AV21" i="14"/>
  <c r="Z54" i="14"/>
  <c r="AB54" i="14"/>
  <c r="Z15" i="14"/>
  <c r="J8" i="14"/>
  <c r="AH8" i="14"/>
  <c r="AU8" i="14"/>
  <c r="BA52" i="14"/>
  <c r="BA59" i="14" s="1"/>
  <c r="BB20" i="14"/>
  <c r="BP52" i="14"/>
  <c r="BP59" i="14" s="1"/>
  <c r="BP8" i="14"/>
  <c r="K9" i="14"/>
  <c r="Q49" i="14"/>
  <c r="R21" i="14"/>
  <c r="S49" i="14"/>
  <c r="AH49" i="14"/>
  <c r="AF49" i="14"/>
  <c r="AF9" i="14"/>
  <c r="AN9" i="14"/>
  <c r="AL49" i="14" s="1"/>
  <c r="AU9" i="14"/>
  <c r="BA49" i="14"/>
  <c r="BB21" i="14"/>
  <c r="BC49" i="14"/>
  <c r="BR49" i="14"/>
  <c r="BP49" i="14"/>
  <c r="BP9" i="14"/>
  <c r="BX9" i="14"/>
  <c r="BV49" i="14" s="1"/>
  <c r="AF57" i="14"/>
  <c r="AF59" i="14" s="1"/>
  <c r="AF14" i="14"/>
  <c r="BP57" i="14"/>
  <c r="BP14" i="14"/>
  <c r="Q54" i="14"/>
  <c r="S54" i="14"/>
  <c r="Y15" i="14"/>
  <c r="W15" i="14" s="1"/>
  <c r="W21" i="14" s="1"/>
  <c r="AH54" i="14"/>
  <c r="AF54" i="14"/>
  <c r="AF15" i="14"/>
  <c r="AU15" i="14"/>
  <c r="BA54" i="14"/>
  <c r="BC54" i="14"/>
  <c r="BR54" i="14"/>
  <c r="BP54" i="14"/>
  <c r="BP15" i="14"/>
  <c r="R20" i="14"/>
  <c r="AG20" i="14"/>
  <c r="BC20" i="14"/>
  <c r="BL20" i="14"/>
  <c r="BQ21" i="14"/>
  <c r="T45" i="14"/>
  <c r="BD45" i="14"/>
  <c r="AC49" i="14"/>
  <c r="AL52" i="14"/>
  <c r="AL59" i="14" s="1"/>
  <c r="BJ8" i="14"/>
  <c r="L8" i="14"/>
  <c r="X8" i="14"/>
  <c r="AJ8" i="14"/>
  <c r="AO52" i="14"/>
  <c r="AP20" i="14"/>
  <c r="AQ49" i="14"/>
  <c r="AO49" i="14"/>
  <c r="AP21" i="14"/>
  <c r="CA49" i="14"/>
  <c r="BY49" i="14"/>
  <c r="BZ21" i="14"/>
  <c r="T14" i="14"/>
  <c r="AI14" i="14"/>
  <c r="BD14" i="14"/>
  <c r="BS14" i="14"/>
  <c r="BS20" i="14" s="1"/>
  <c r="M15" i="14"/>
  <c r="K15" i="14" s="1"/>
  <c r="V54" i="14"/>
  <c r="T15" i="14"/>
  <c r="AQ54" i="14"/>
  <c r="AO54" i="14"/>
  <c r="AW15" i="14"/>
  <c r="AU54" i="14" s="1"/>
  <c r="BF54" i="14"/>
  <c r="BD54" i="14"/>
  <c r="BD15" i="14"/>
  <c r="CA54" i="14"/>
  <c r="BY54" i="14"/>
  <c r="U20" i="14"/>
  <c r="AB20" i="14"/>
  <c r="AK20" i="14"/>
  <c r="AT20" i="14"/>
  <c r="BE20" i="14"/>
  <c r="BQ20" i="14"/>
  <c r="S21" i="14"/>
  <c r="BM52" i="14"/>
  <c r="BM59" i="14" s="1"/>
  <c r="BL49" i="14"/>
  <c r="BJ54" i="14"/>
  <c r="BJ15" i="14"/>
  <c r="BL54" i="14"/>
  <c r="S8" i="14"/>
  <c r="AE8" i="14"/>
  <c r="AC8" i="14" s="1"/>
  <c r="AC20" i="14" s="1"/>
  <c r="AX52" i="14"/>
  <c r="BS52" i="14"/>
  <c r="BS59" i="14" s="1"/>
  <c r="BT20" i="14"/>
  <c r="P49" i="14"/>
  <c r="N49" i="14"/>
  <c r="N9" i="14"/>
  <c r="N21" i="14" s="1"/>
  <c r="V9" i="14"/>
  <c r="V49" i="14" s="1"/>
  <c r="AC9" i="14"/>
  <c r="AC21" i="14" s="1"/>
  <c r="AI49" i="14"/>
  <c r="AJ21" i="14"/>
  <c r="AK49" i="14"/>
  <c r="AZ49" i="14"/>
  <c r="AX49" i="14"/>
  <c r="AX9" i="14"/>
  <c r="BF9" i="14"/>
  <c r="BD9" i="14" s="1"/>
  <c r="BD21" i="14" s="1"/>
  <c r="BM9" i="14"/>
  <c r="BM21" i="14" s="1"/>
  <c r="BS49" i="14"/>
  <c r="BT21" i="14"/>
  <c r="BU49" i="14"/>
  <c r="N57" i="14"/>
  <c r="N59" i="14" s="1"/>
  <c r="N14" i="14"/>
  <c r="AC14" i="14"/>
  <c r="AX57" i="14"/>
  <c r="AX14" i="14"/>
  <c r="BM14" i="14"/>
  <c r="P54" i="14"/>
  <c r="N54" i="14"/>
  <c r="N15" i="14"/>
  <c r="AI54" i="14"/>
  <c r="AK54" i="14"/>
  <c r="AZ54" i="14"/>
  <c r="AX54" i="14"/>
  <c r="AX15" i="14"/>
  <c r="BS54" i="14"/>
  <c r="BU54" i="14"/>
  <c r="O20" i="14"/>
  <c r="BR20" i="14"/>
  <c r="BK21" i="14"/>
  <c r="K43" i="14"/>
  <c r="K45" i="14" s="1"/>
  <c r="AC43" i="14"/>
  <c r="AC45" i="14" s="1"/>
  <c r="AU43" i="14"/>
  <c r="AU45" i="14" s="1"/>
  <c r="BM43" i="14"/>
  <c r="W44" i="14"/>
  <c r="W45" i="14" s="1"/>
  <c r="AO44" i="14"/>
  <c r="AO45" i="14" s="1"/>
  <c r="BG44" i="14"/>
  <c r="BG45" i="14" s="1"/>
  <c r="BY44" i="14"/>
  <c r="BR45" i="14"/>
  <c r="BY45" i="14"/>
  <c r="H8" i="14"/>
  <c r="H20" i="14" s="1"/>
  <c r="AF8" i="14"/>
  <c r="AF20" i="14" s="1"/>
  <c r="H49" i="14"/>
  <c r="J49" i="14"/>
  <c r="H9" i="14"/>
  <c r="AE49" i="14"/>
  <c r="AD21" i="14"/>
  <c r="AR49" i="14"/>
  <c r="AR9" i="14"/>
  <c r="AT49" i="14"/>
  <c r="BO49" i="14"/>
  <c r="BN21" i="14"/>
  <c r="BM49" i="14"/>
  <c r="H57" i="14"/>
  <c r="H59" i="14" s="1"/>
  <c r="H14" i="14"/>
  <c r="AR57" i="14"/>
  <c r="AR14" i="14"/>
  <c r="BG14" i="14"/>
  <c r="BG20" i="14" s="1"/>
  <c r="H54" i="14"/>
  <c r="H15" i="14"/>
  <c r="J54" i="14"/>
  <c r="AE54" i="14"/>
  <c r="AC54" i="14"/>
  <c r="AR54" i="14"/>
  <c r="AR15" i="14"/>
  <c r="AT54" i="14"/>
  <c r="BO54" i="14"/>
  <c r="I20" i="14"/>
  <c r="AY20" i="14"/>
  <c r="BU20" i="14"/>
  <c r="BC21" i="14"/>
  <c r="Z49" i="14"/>
  <c r="Z9" i="14"/>
  <c r="AB49" i="14"/>
  <c r="Z57" i="14"/>
  <c r="Z14" i="14"/>
  <c r="BJ57" i="14"/>
  <c r="BJ14" i="14"/>
  <c r="AU49" i="14"/>
  <c r="AA8" i="14"/>
  <c r="AT59" i="14"/>
  <c r="BA8" i="14"/>
  <c r="BV52" i="14"/>
  <c r="Y49" i="14"/>
  <c r="W49" i="14"/>
  <c r="X21" i="14"/>
  <c r="AL9" i="14"/>
  <c r="BI49" i="14"/>
  <c r="BG49" i="14"/>
  <c r="BH21" i="14"/>
  <c r="BX49" i="14"/>
  <c r="BV9" i="14"/>
  <c r="Q14" i="14"/>
  <c r="AL57" i="14"/>
  <c r="AL14" i="14"/>
  <c r="BA14" i="14"/>
  <c r="AN54" i="14"/>
  <c r="AL15" i="14"/>
  <c r="BI54" i="14"/>
  <c r="BG54" i="14"/>
  <c r="BX54" i="14"/>
  <c r="BV15" i="14"/>
  <c r="BK20" i="14"/>
  <c r="Q43" i="14"/>
  <c r="Q45" i="14" s="1"/>
  <c r="AI43" i="14"/>
  <c r="AI45" i="14" s="1"/>
  <c r="BA43" i="14"/>
  <c r="BA45" i="14" s="1"/>
  <c r="BS43" i="14"/>
  <c r="BS45" i="14" s="1"/>
  <c r="CC43" i="14"/>
  <c r="CC44" i="14"/>
  <c r="AL54" i="14"/>
  <c r="N43" i="14"/>
  <c r="N45" i="14" s="1"/>
  <c r="AF43" i="14"/>
  <c r="AF45" i="14" s="1"/>
  <c r="AX43" i="14"/>
  <c r="AX45" i="14" s="1"/>
  <c r="BP43" i="14"/>
  <c r="BP45" i="14" s="1"/>
  <c r="I45" i="14"/>
  <c r="CB45" i="14" s="1"/>
  <c r="CB43" i="14"/>
  <c r="J45" i="14"/>
  <c r="AT45" i="14"/>
  <c r="BU36" i="10"/>
  <c r="BU38" i="10"/>
  <c r="BS8" i="10"/>
  <c r="BU26" i="10"/>
  <c r="BI40" i="10"/>
  <c r="BI42" i="10" s="1"/>
  <c r="AQ26" i="10"/>
  <c r="BW26" i="10"/>
  <c r="BV8" i="10"/>
  <c r="BV26" i="10" s="1"/>
  <c r="BX36" i="10"/>
  <c r="BX38" i="10" s="1"/>
  <c r="BV36" i="10"/>
  <c r="BV38" i="10" s="1"/>
  <c r="BV44" i="10" s="1"/>
  <c r="BV40" i="10"/>
  <c r="BV42" i="10" s="1"/>
  <c r="BV15" i="10"/>
  <c r="BX40" i="10"/>
  <c r="BX42" i="10" s="1"/>
  <c r="AU31" i="10"/>
  <c r="AV8" i="10"/>
  <c r="K40" i="10"/>
  <c r="K42" i="10" s="1"/>
  <c r="AO42" i="10"/>
  <c r="AT26" i="10"/>
  <c r="BS40" i="10"/>
  <c r="BS42" i="10" s="1"/>
  <c r="BU40" i="10"/>
  <c r="BU42" i="10" s="1"/>
  <c r="BS15" i="10"/>
  <c r="BT26" i="10"/>
  <c r="AC8" i="10"/>
  <c r="AC26" i="10" s="1"/>
  <c r="AE36" i="10"/>
  <c r="AE38" i="10" s="1"/>
  <c r="AE44" i="10" s="1"/>
  <c r="AC36" i="10"/>
  <c r="AC38" i="10" s="1"/>
  <c r="AD26" i="10"/>
  <c r="BJ15" i="10"/>
  <c r="BJ40" i="10"/>
  <c r="BJ42" i="10" s="1"/>
  <c r="BL42" i="10"/>
  <c r="AO31" i="10"/>
  <c r="AP8" i="10"/>
  <c r="AF40" i="10"/>
  <c r="AF42" i="10" s="1"/>
  <c r="AF15" i="10"/>
  <c r="AF26" i="10" s="1"/>
  <c r="AH26" i="10"/>
  <c r="BM8" i="10"/>
  <c r="BM26" i="10" s="1"/>
  <c r="BN26" i="10"/>
  <c r="BM36" i="10"/>
  <c r="BM38" i="10" s="1"/>
  <c r="BL40" i="10"/>
  <c r="M40" i="10"/>
  <c r="BI38" i="10"/>
  <c r="BG8" i="10"/>
  <c r="BG26" i="10" s="1"/>
  <c r="BG36" i="10"/>
  <c r="BG38" i="10" s="1"/>
  <c r="Q15" i="10"/>
  <c r="Q40" i="10"/>
  <c r="Q42" i="10" s="1"/>
  <c r="S42" i="10"/>
  <c r="AC40" i="10"/>
  <c r="AE40" i="10"/>
  <c r="AE42" i="10" s="1"/>
  <c r="AC42" i="10"/>
  <c r="V26" i="10"/>
  <c r="AI36" i="10"/>
  <c r="AI38" i="10" s="1"/>
  <c r="AI8" i="10"/>
  <c r="AK38" i="10"/>
  <c r="J42" i="10"/>
  <c r="J26" i="10"/>
  <c r="H40" i="10"/>
  <c r="H42" i="10" s="1"/>
  <c r="J40" i="10"/>
  <c r="H15" i="10"/>
  <c r="Z40" i="10"/>
  <c r="Z42" i="10" s="1"/>
  <c r="AB42" i="10"/>
  <c r="Z15" i="10"/>
  <c r="BC26" i="10"/>
  <c r="BA40" i="10"/>
  <c r="BA42" i="10" s="1"/>
  <c r="BA44" i="10" s="1"/>
  <c r="BC42" i="10"/>
  <c r="BC44" i="10" s="1"/>
  <c r="BJ36" i="10"/>
  <c r="BJ38" i="10" s="1"/>
  <c r="BJ44" i="10" s="1"/>
  <c r="BJ8" i="10"/>
  <c r="BK26" i="10"/>
  <c r="I8" i="10"/>
  <c r="H31" i="10"/>
  <c r="BL36" i="10"/>
  <c r="BL38" i="10" s="1"/>
  <c r="BL44" i="10" s="1"/>
  <c r="BL26" i="10"/>
  <c r="BO42" i="10"/>
  <c r="CB31" i="10"/>
  <c r="Y42" i="10"/>
  <c r="Y44" i="10" s="1"/>
  <c r="Y26" i="10"/>
  <c r="BG40" i="10"/>
  <c r="BG42" i="10" s="1"/>
  <c r="BG15" i="10"/>
  <c r="Z36" i="10"/>
  <c r="Z38" i="10" s="1"/>
  <c r="Z44" i="10" s="1"/>
  <c r="Z8" i="10"/>
  <c r="AB26" i="10"/>
  <c r="Y40" i="10"/>
  <c r="W40" i="10"/>
  <c r="W42" i="10" s="1"/>
  <c r="W15" i="10"/>
  <c r="W26" i="10" s="1"/>
  <c r="AB36" i="10"/>
  <c r="AB38" i="10" s="1"/>
  <c r="BS36" i="10"/>
  <c r="BS38" i="10" s="1"/>
  <c r="AR8" i="10"/>
  <c r="BO36" i="10"/>
  <c r="BO38" i="10" s="1"/>
  <c r="AL8" i="10"/>
  <c r="AL26" i="10" s="1"/>
  <c r="AL36" i="10"/>
  <c r="AL38" i="10" s="1"/>
  <c r="AN36" i="10"/>
  <c r="AN38" i="10" s="1"/>
  <c r="AN44" i="10" s="1"/>
  <c r="AN26" i="10"/>
  <c r="BD38" i="10"/>
  <c r="BD36" i="10"/>
  <c r="BF36" i="10"/>
  <c r="BF38" i="10" s="1"/>
  <c r="N31" i="10"/>
  <c r="O8" i="10"/>
  <c r="AO15" i="10"/>
  <c r="AQ40" i="10"/>
  <c r="AQ42" i="10" s="1"/>
  <c r="C26" i="9"/>
  <c r="AW40" i="10"/>
  <c r="AW42" i="10" s="1"/>
  <c r="BO26" i="10"/>
  <c r="AS15" i="10"/>
  <c r="CA15" i="10"/>
  <c r="U26" i="10"/>
  <c r="BM40" i="10"/>
  <c r="BM42" i="10" s="1"/>
  <c r="J38" i="9"/>
  <c r="J40" i="9" s="1"/>
  <c r="J42" i="9" s="1"/>
  <c r="AJ26" i="10"/>
  <c r="BP38" i="10"/>
  <c r="AX36" i="10"/>
  <c r="AX38" i="10" s="1"/>
  <c r="AF36" i="10"/>
  <c r="AF38" i="10" s="1"/>
  <c r="W36" i="10"/>
  <c r="W38" i="10" s="1"/>
  <c r="W44" i="10" s="1"/>
  <c r="AY15" i="10"/>
  <c r="AY26" i="10" s="1"/>
  <c r="CB33" i="10"/>
  <c r="BP8" i="10"/>
  <c r="R8" i="10"/>
  <c r="T8" i="10"/>
  <c r="T26" i="10" s="1"/>
  <c r="BF26" i="10"/>
  <c r="AU15" i="10"/>
  <c r="BE15" i="10"/>
  <c r="AI31" i="10"/>
  <c r="E26" i="9"/>
  <c r="CA8" i="10"/>
  <c r="H38" i="9"/>
  <c r="H40" i="9" s="1"/>
  <c r="H42" i="9" s="1"/>
  <c r="AG26" i="10"/>
  <c r="BI42" i="9" l="1"/>
  <c r="BY51" i="13"/>
  <c r="BY53" i="13" s="1"/>
  <c r="CA51" i="13"/>
  <c r="CA53" i="13" s="1"/>
  <c r="CC8" i="13"/>
  <c r="AL15" i="12"/>
  <c r="AL26" i="12" s="1"/>
  <c r="AL47" i="12"/>
  <c r="AL49" i="12" s="1"/>
  <c r="AL51" i="12" s="1"/>
  <c r="AN47" i="12"/>
  <c r="AN49" i="12" s="1"/>
  <c r="AN51" i="12" s="1"/>
  <c r="AM26" i="12"/>
  <c r="BR40" i="10"/>
  <c r="BR42" i="10" s="1"/>
  <c r="BR44" i="10" s="1"/>
  <c r="BP40" i="10"/>
  <c r="BP42" i="10" s="1"/>
  <c r="BP44" i="10" s="1"/>
  <c r="N15" i="10"/>
  <c r="M42" i="10"/>
  <c r="M44" i="10" s="1"/>
  <c r="AR36" i="10"/>
  <c r="BM45" i="14"/>
  <c r="BY52" i="14"/>
  <c r="AR38" i="10"/>
  <c r="K15" i="10"/>
  <c r="W54" i="14"/>
  <c r="BO44" i="10"/>
  <c r="P40" i="10"/>
  <c r="P42" i="10" s="1"/>
  <c r="BI44" i="10"/>
  <c r="Y54" i="14"/>
  <c r="BA20" i="14"/>
  <c r="AR52" i="14"/>
  <c r="AR59" i="14" s="1"/>
  <c r="BJ9" i="14"/>
  <c r="BJ21" i="14" s="1"/>
  <c r="BP20" i="14"/>
  <c r="X176" i="19"/>
  <c r="AE175" i="19"/>
  <c r="AD176" i="19" s="1"/>
  <c r="AF41" i="17"/>
  <c r="BM41" i="17"/>
  <c r="BJ41" i="17"/>
  <c r="P88" i="19"/>
  <c r="AU51" i="16"/>
  <c r="W51" i="16"/>
  <c r="AE43" i="12"/>
  <c r="AE45" i="12" s="1"/>
  <c r="AE51" i="12" s="1"/>
  <c r="AC43" i="12"/>
  <c r="AD26" i="12"/>
  <c r="AC45" i="12"/>
  <c r="AC51" i="12" s="1"/>
  <c r="AC8" i="12"/>
  <c r="AC26" i="12" s="1"/>
  <c r="AQ52" i="14"/>
  <c r="AQ59" i="14" s="1"/>
  <c r="AQ20" i="14"/>
  <c r="BY8" i="13"/>
  <c r="AR45" i="14"/>
  <c r="AI26" i="13"/>
  <c r="BY21" i="14"/>
  <c r="BG8" i="11"/>
  <c r="BG26" i="11" s="1"/>
  <c r="BI49" i="11"/>
  <c r="BI55" i="11" s="1"/>
  <c r="BI26" i="11"/>
  <c r="BG47" i="11"/>
  <c r="BG49" i="11" s="1"/>
  <c r="BG55" i="11" s="1"/>
  <c r="M53" i="11"/>
  <c r="K51" i="11"/>
  <c r="K53" i="11" s="1"/>
  <c r="K55" i="11" s="1"/>
  <c r="M26" i="11"/>
  <c r="C28" i="11"/>
  <c r="K15" i="11"/>
  <c r="K26" i="11" s="1"/>
  <c r="M51" i="11"/>
  <c r="E28" i="11"/>
  <c r="BS49" i="12"/>
  <c r="BS51" i="12" s="1"/>
  <c r="BS47" i="12"/>
  <c r="BU47" i="12"/>
  <c r="BU49" i="12" s="1"/>
  <c r="BU51" i="12" s="1"/>
  <c r="BT26" i="12"/>
  <c r="BS15" i="12"/>
  <c r="BS26" i="12" s="1"/>
  <c r="BG24" i="9"/>
  <c r="AE47" i="11"/>
  <c r="AC8" i="11"/>
  <c r="AC26" i="11" s="1"/>
  <c r="AE49" i="11"/>
  <c r="AE55" i="11" s="1"/>
  <c r="AC47" i="11"/>
  <c r="AC49" i="11" s="1"/>
  <c r="AC55" i="11" s="1"/>
  <c r="C27" i="11"/>
  <c r="AE26" i="11"/>
  <c r="E27" i="11"/>
  <c r="M42" i="9"/>
  <c r="AH40" i="10"/>
  <c r="AH42" i="10" s="1"/>
  <c r="AH44" i="10" s="1"/>
  <c r="BU42" i="9"/>
  <c r="Y42" i="9"/>
  <c r="BF55" i="11"/>
  <c r="W9" i="6"/>
  <c r="W25" i="6" s="1"/>
  <c r="W60" i="6"/>
  <c r="W63" i="6" s="1"/>
  <c r="W70" i="6" s="1"/>
  <c r="X25" i="6"/>
  <c r="BA25" i="8"/>
  <c r="BA27" i="8" s="1"/>
  <c r="BA29" i="8" s="1"/>
  <c r="BC25" i="8"/>
  <c r="BC27" i="8"/>
  <c r="BC29" i="8" s="1"/>
  <c r="R32" i="8" s="1"/>
  <c r="BA8" i="8"/>
  <c r="K36" i="10"/>
  <c r="K8" i="10"/>
  <c r="L26" i="10"/>
  <c r="M36" i="10"/>
  <c r="M38" i="10" s="1"/>
  <c r="K38" i="10"/>
  <c r="K44" i="10" s="1"/>
  <c r="P69" i="5"/>
  <c r="P96" i="5"/>
  <c r="AI69" i="5"/>
  <c r="Y60" i="6"/>
  <c r="Y63" i="6" s="1"/>
  <c r="Y70" i="6" s="1"/>
  <c r="X71" i="6" s="1"/>
  <c r="U20" i="5"/>
  <c r="V39" i="5"/>
  <c r="V42" i="5" s="1"/>
  <c r="V49" i="5" s="1"/>
  <c r="T39" i="5"/>
  <c r="T8" i="5"/>
  <c r="T20" i="5" s="1"/>
  <c r="T42" i="5"/>
  <c r="T49" i="5" s="1"/>
  <c r="AK20" i="5"/>
  <c r="AK47" i="5"/>
  <c r="AI44" i="5"/>
  <c r="AI47" i="5" s="1"/>
  <c r="AI49" i="5" s="1"/>
  <c r="W88" i="5"/>
  <c r="W91" i="5" s="1"/>
  <c r="W98" i="5" s="1"/>
  <c r="Y69" i="5"/>
  <c r="Y91" i="5"/>
  <c r="Y98" i="5" s="1"/>
  <c r="X99" i="5" s="1"/>
  <c r="N9" i="6"/>
  <c r="N25" i="6" s="1"/>
  <c r="O25" i="6"/>
  <c r="P60" i="6"/>
  <c r="P63" i="6" s="1"/>
  <c r="P70" i="6" s="1"/>
  <c r="O71" i="6" s="1"/>
  <c r="Y88" i="5"/>
  <c r="AC24" i="6"/>
  <c r="BY57" i="14"/>
  <c r="BY14" i="14"/>
  <c r="AI15" i="13"/>
  <c r="AK55" i="13"/>
  <c r="AK57" i="13" s="1"/>
  <c r="AK59" i="13" s="1"/>
  <c r="AI55" i="13"/>
  <c r="AI57" i="13" s="1"/>
  <c r="AI59" i="13" s="1"/>
  <c r="BY20" i="14"/>
  <c r="T87" i="6"/>
  <c r="T95" i="6" s="1"/>
  <c r="U95" i="6"/>
  <c r="V135" i="6"/>
  <c r="V138" i="6" s="1"/>
  <c r="V140" i="6" s="1"/>
  <c r="T135" i="6"/>
  <c r="T138" i="6" s="1"/>
  <c r="T140" i="6" s="1"/>
  <c r="H96" i="5"/>
  <c r="J93" i="5"/>
  <c r="J96" i="5" s="1"/>
  <c r="J98" i="5" s="1"/>
  <c r="I99" i="5" s="1"/>
  <c r="H63" i="5"/>
  <c r="H93" i="5"/>
  <c r="I69" i="5"/>
  <c r="BP26" i="10"/>
  <c r="BR26" i="10"/>
  <c r="AC44" i="10"/>
  <c r="CC45" i="14"/>
  <c r="H21" i="14"/>
  <c r="BJ49" i="14"/>
  <c r="AD89" i="19"/>
  <c r="X89" i="19"/>
  <c r="BD41" i="17"/>
  <c r="AC41" i="17"/>
  <c r="Z41" i="17"/>
  <c r="BA51" i="16"/>
  <c r="BY41" i="17"/>
  <c r="K51" i="16"/>
  <c r="S26" i="13"/>
  <c r="Q51" i="13"/>
  <c r="Q53" i="13" s="1"/>
  <c r="Q59" i="13" s="1"/>
  <c r="S53" i="13"/>
  <c r="S59" i="13" s="1"/>
  <c r="AR51" i="16"/>
  <c r="BS15" i="11"/>
  <c r="BS26" i="11" s="1"/>
  <c r="BS51" i="11"/>
  <c r="BS53" i="11" s="1"/>
  <c r="BS55" i="11" s="1"/>
  <c r="CC15" i="11"/>
  <c r="BU51" i="11"/>
  <c r="BU53" i="11" s="1"/>
  <c r="BU55" i="11" s="1"/>
  <c r="BU26" i="11"/>
  <c r="P8" i="14"/>
  <c r="P21" i="14"/>
  <c r="K47" i="12"/>
  <c r="K49" i="12" s="1"/>
  <c r="K51" i="12" s="1"/>
  <c r="L26" i="12"/>
  <c r="M47" i="12"/>
  <c r="M49" i="12" s="1"/>
  <c r="M51" i="12" s="1"/>
  <c r="K15" i="12"/>
  <c r="K26" i="12" s="1"/>
  <c r="AO57" i="14"/>
  <c r="AO59" i="14" s="1"/>
  <c r="AO14" i="14"/>
  <c r="AO20" i="14" s="1"/>
  <c r="H45" i="14"/>
  <c r="CA15" i="13"/>
  <c r="AZ26" i="12"/>
  <c r="AX8" i="12"/>
  <c r="AX26" i="12" s="1"/>
  <c r="AX43" i="12"/>
  <c r="AX45" i="12" s="1"/>
  <c r="AX51" i="12" s="1"/>
  <c r="AZ43" i="12"/>
  <c r="AZ45" i="12" s="1"/>
  <c r="AZ51" i="12" s="1"/>
  <c r="AT51" i="11"/>
  <c r="AR15" i="11"/>
  <c r="AR26" i="11" s="1"/>
  <c r="AT26" i="11"/>
  <c r="AT53" i="11"/>
  <c r="AT55" i="11" s="1"/>
  <c r="S51" i="13"/>
  <c r="BI20" i="14"/>
  <c r="W24" i="9"/>
  <c r="AB42" i="9"/>
  <c r="BR47" i="11"/>
  <c r="BR49" i="11" s="1"/>
  <c r="BR55" i="11" s="1"/>
  <c r="BP47" i="11"/>
  <c r="BP49" i="11" s="1"/>
  <c r="BP55" i="11" s="1"/>
  <c r="BR26" i="11"/>
  <c r="CC8" i="11"/>
  <c r="K87" i="6"/>
  <c r="K95" i="6" s="1"/>
  <c r="L95" i="6"/>
  <c r="K135" i="6"/>
  <c r="K138" i="6" s="1"/>
  <c r="K140" i="6" s="1"/>
  <c r="M135" i="6"/>
  <c r="M138" i="6" s="1"/>
  <c r="M140" i="6" s="1"/>
  <c r="L141" i="6" s="1"/>
  <c r="BM8" i="8"/>
  <c r="BO25" i="8"/>
  <c r="CC8" i="8"/>
  <c r="BO27" i="8"/>
  <c r="BO29" i="8" s="1"/>
  <c r="AD32" i="8" s="1"/>
  <c r="BM25" i="8"/>
  <c r="BM27" i="8" s="1"/>
  <c r="BM29" i="8" s="1"/>
  <c r="AN135" i="6"/>
  <c r="AN138" i="6" s="1"/>
  <c r="AN140" i="6" s="1"/>
  <c r="AL87" i="6"/>
  <c r="AL95" i="6" s="1"/>
  <c r="AM95" i="6"/>
  <c r="AL135" i="6"/>
  <c r="AL138" i="6" s="1"/>
  <c r="AL140" i="6" s="1"/>
  <c r="AU24" i="9"/>
  <c r="Z8" i="5"/>
  <c r="Z20" i="5" s="1"/>
  <c r="Z39" i="5"/>
  <c r="AA20" i="5"/>
  <c r="B22" i="5" s="1"/>
  <c r="AB39" i="5"/>
  <c r="AB42" i="5" s="1"/>
  <c r="AB49" i="5" s="1"/>
  <c r="Z42" i="5"/>
  <c r="Z49" i="5" s="1"/>
  <c r="AD99" i="5"/>
  <c r="H98" i="5"/>
  <c r="AF14" i="5"/>
  <c r="AF44" i="5"/>
  <c r="AG20" i="5"/>
  <c r="AF47" i="5"/>
  <c r="AH44" i="5"/>
  <c r="AH47" i="5" s="1"/>
  <c r="AN20" i="5"/>
  <c r="H49" i="5"/>
  <c r="K57" i="5"/>
  <c r="K69" i="5" s="1"/>
  <c r="L69" i="5"/>
  <c r="K88" i="5"/>
  <c r="K91" i="5" s="1"/>
  <c r="K98" i="5" s="1"/>
  <c r="M88" i="5"/>
  <c r="M91" i="5" s="1"/>
  <c r="M98" i="5" s="1"/>
  <c r="BO52" i="14"/>
  <c r="BO59" i="14" s="1"/>
  <c r="BO20" i="14"/>
  <c r="BZ26" i="12"/>
  <c r="CA43" i="12"/>
  <c r="CA45" i="12" s="1"/>
  <c r="CA51" i="12" s="1"/>
  <c r="BY43" i="12"/>
  <c r="BY45" i="12" s="1"/>
  <c r="BY51" i="12" s="1"/>
  <c r="BY8" i="12"/>
  <c r="BY26" i="12" s="1"/>
  <c r="AX8" i="11"/>
  <c r="AX26" i="11" s="1"/>
  <c r="AX47" i="11"/>
  <c r="AX49" i="11" s="1"/>
  <c r="AX55" i="11" s="1"/>
  <c r="AZ47" i="11"/>
  <c r="AZ26" i="11"/>
  <c r="AZ49" i="11"/>
  <c r="AZ55" i="11" s="1"/>
  <c r="S98" i="5"/>
  <c r="AB44" i="10"/>
  <c r="BZ20" i="14"/>
  <c r="O89" i="19"/>
  <c r="BI21" i="14"/>
  <c r="BC26" i="12"/>
  <c r="BC47" i="12"/>
  <c r="BC49" i="12" s="1"/>
  <c r="BC51" i="12" s="1"/>
  <c r="BA47" i="12"/>
  <c r="BA49" i="12" s="1"/>
  <c r="BA51" i="12" s="1"/>
  <c r="BA15" i="12"/>
  <c r="BA26" i="12" s="1"/>
  <c r="BG15" i="14"/>
  <c r="BG21" i="14" s="1"/>
  <c r="BV14" i="14"/>
  <c r="BV57" i="14"/>
  <c r="BV59" i="14" s="1"/>
  <c r="T55" i="13"/>
  <c r="T57" i="13" s="1"/>
  <c r="T59" i="13" s="1"/>
  <c r="T15" i="13"/>
  <c r="T26" i="13" s="1"/>
  <c r="V57" i="13"/>
  <c r="V59" i="13" s="1"/>
  <c r="V55" i="13"/>
  <c r="V26" i="13"/>
  <c r="E28" i="13"/>
  <c r="C28" i="13"/>
  <c r="AQ26" i="11"/>
  <c r="AO15" i="11"/>
  <c r="AO26" i="11" s="1"/>
  <c r="AQ51" i="11"/>
  <c r="AQ53" i="11"/>
  <c r="AQ55" i="11" s="1"/>
  <c r="AO51" i="11"/>
  <c r="AO53" i="11" s="1"/>
  <c r="AO55" i="11" s="1"/>
  <c r="BI59" i="14"/>
  <c r="Z55" i="11"/>
  <c r="AO8" i="8"/>
  <c r="AO25" i="8"/>
  <c r="AO27" i="8" s="1"/>
  <c r="AO29" i="8" s="1"/>
  <c r="AQ25" i="8"/>
  <c r="AQ27" i="8" s="1"/>
  <c r="AQ29" i="8" s="1"/>
  <c r="AP30" i="8" s="1"/>
  <c r="AH42" i="9"/>
  <c r="AH25" i="6"/>
  <c r="AF17" i="6"/>
  <c r="AH65" i="6"/>
  <c r="AH68" i="6" s="1"/>
  <c r="AF65" i="6"/>
  <c r="AF68" i="6" s="1"/>
  <c r="AG25" i="6"/>
  <c r="AF9" i="6"/>
  <c r="AH60" i="6"/>
  <c r="AH63" i="6" s="1"/>
  <c r="AF60" i="6"/>
  <c r="AF63" i="6" s="1"/>
  <c r="O69" i="5"/>
  <c r="N88" i="5"/>
  <c r="N91" i="5" s="1"/>
  <c r="N98" i="5" s="1"/>
  <c r="N57" i="5"/>
  <c r="N69" i="5" s="1"/>
  <c r="P88" i="5"/>
  <c r="P91" i="5" s="1"/>
  <c r="P98" i="5" s="1"/>
  <c r="S39" i="5"/>
  <c r="Q39" i="5"/>
  <c r="Q42" i="5" s="1"/>
  <c r="Q49" i="5" s="1"/>
  <c r="S42" i="5"/>
  <c r="S49" i="5" s="1"/>
  <c r="Q8" i="5"/>
  <c r="Q20" i="5" s="1"/>
  <c r="S20" i="5"/>
  <c r="AL57" i="5"/>
  <c r="AL69" i="5" s="1"/>
  <c r="AN69" i="5"/>
  <c r="AN88" i="5"/>
  <c r="AN91" i="5" s="1"/>
  <c r="AN98" i="5" s="1"/>
  <c r="AM99" i="5" s="1"/>
  <c r="AL88" i="5"/>
  <c r="AL91" i="5" s="1"/>
  <c r="AL98" i="5" s="1"/>
  <c r="H69" i="5"/>
  <c r="AE20" i="5"/>
  <c r="AC39" i="5"/>
  <c r="AC8" i="5"/>
  <c r="AC20" i="5" s="1"/>
  <c r="AE39" i="5"/>
  <c r="AE42" i="5" s="1"/>
  <c r="AE49" i="5" s="1"/>
  <c r="AD50" i="5" s="1"/>
  <c r="AC42" i="5"/>
  <c r="AC49" i="5" s="1"/>
  <c r="AD20" i="5"/>
  <c r="M55" i="11"/>
  <c r="AL44" i="10"/>
  <c r="BH20" i="14"/>
  <c r="AP176" i="19"/>
  <c r="BP8" i="12"/>
  <c r="BP26" i="12" s="1"/>
  <c r="BR43" i="12"/>
  <c r="BR45" i="12" s="1"/>
  <c r="BR51" i="12" s="1"/>
  <c r="BP43" i="12"/>
  <c r="BP45" i="12" s="1"/>
  <c r="BP51" i="12" s="1"/>
  <c r="BQ26" i="12"/>
  <c r="AZ21" i="14"/>
  <c r="AZ8" i="14"/>
  <c r="BF51" i="13"/>
  <c r="BF26" i="13"/>
  <c r="BD51" i="13"/>
  <c r="BD53" i="13" s="1"/>
  <c r="BD59" i="13" s="1"/>
  <c r="BF53" i="13"/>
  <c r="AZ51" i="13"/>
  <c r="AX51" i="13"/>
  <c r="AX53" i="13" s="1"/>
  <c r="AX59" i="13" s="1"/>
  <c r="AZ53" i="13"/>
  <c r="AZ59" i="13" s="1"/>
  <c r="AZ26" i="13"/>
  <c r="BF15" i="12"/>
  <c r="C28" i="12" s="1"/>
  <c r="CC40" i="12"/>
  <c r="W55" i="13"/>
  <c r="W57" i="13" s="1"/>
  <c r="W59" i="13" s="1"/>
  <c r="W15" i="13"/>
  <c r="W26" i="13" s="1"/>
  <c r="Y55" i="13"/>
  <c r="Y57" i="13" s="1"/>
  <c r="Y59" i="13" s="1"/>
  <c r="Y26" i="13"/>
  <c r="AI40" i="10"/>
  <c r="AI42" i="10" s="1"/>
  <c r="AI44" i="10" s="1"/>
  <c r="AK40" i="10"/>
  <c r="AK42" i="10" s="1"/>
  <c r="AK44" i="10" s="1"/>
  <c r="AI15" i="10"/>
  <c r="AI26" i="10" s="1"/>
  <c r="S42" i="9"/>
  <c r="K25" i="8"/>
  <c r="K27" i="8" s="1"/>
  <c r="K29" i="8" s="1"/>
  <c r="M25" i="8"/>
  <c r="M27" i="8"/>
  <c r="M29" i="8" s="1"/>
  <c r="L30" i="8" s="1"/>
  <c r="K8" i="8"/>
  <c r="AZ26" i="10"/>
  <c r="AX8" i="10"/>
  <c r="AZ38" i="10"/>
  <c r="AE135" i="6"/>
  <c r="AE138" i="6" s="1"/>
  <c r="AE140" i="6" s="1"/>
  <c r="AD141" i="6" s="1"/>
  <c r="AC87" i="6"/>
  <c r="AC95" i="6" s="1"/>
  <c r="AC135" i="6"/>
  <c r="AC138" i="6" s="1"/>
  <c r="AC140" i="6" s="1"/>
  <c r="AD95" i="6"/>
  <c r="V36" i="10"/>
  <c r="V38" i="10" s="1"/>
  <c r="V44" i="10" s="1"/>
  <c r="T36" i="10"/>
  <c r="T38" i="10" s="1"/>
  <c r="T44" i="10" s="1"/>
  <c r="K9" i="6"/>
  <c r="K25" i="6" s="1"/>
  <c r="L25" i="6"/>
  <c r="K60" i="6"/>
  <c r="K63" i="6" s="1"/>
  <c r="K70" i="6" s="1"/>
  <c r="M60" i="6"/>
  <c r="M63" i="6" s="1"/>
  <c r="M70" i="6" s="1"/>
  <c r="AK49" i="5"/>
  <c r="O50" i="5"/>
  <c r="AH20" i="5"/>
  <c r="AH39" i="5"/>
  <c r="AF8" i="5"/>
  <c r="AF20" i="5" s="1"/>
  <c r="AF39" i="5"/>
  <c r="AF42" i="5" s="1"/>
  <c r="AF49" i="5" s="1"/>
  <c r="AH42" i="5"/>
  <c r="AH49" i="5" s="1"/>
  <c r="AO49" i="5"/>
  <c r="E27" i="6"/>
  <c r="Q98" i="5"/>
  <c r="Z88" i="5"/>
  <c r="Z91" i="5" s="1"/>
  <c r="Z98" i="5" s="1"/>
  <c r="Z57" i="5"/>
  <c r="Z69" i="5" s="1"/>
  <c r="AA69" i="5"/>
  <c r="AB88" i="5"/>
  <c r="AB91" i="5" s="1"/>
  <c r="AB98" i="5" s="1"/>
  <c r="I50" i="5"/>
  <c r="T98" i="5"/>
  <c r="U99" i="5" s="1"/>
  <c r="AW26" i="11"/>
  <c r="AW49" i="11"/>
  <c r="AW55" i="11" s="1"/>
  <c r="AU47" i="11"/>
  <c r="AU49" i="11" s="1"/>
  <c r="AU55" i="11" s="1"/>
  <c r="AU8" i="11"/>
  <c r="AU26" i="11" s="1"/>
  <c r="C28" i="10"/>
  <c r="BM8" i="14"/>
  <c r="BM20" i="14" s="1"/>
  <c r="AL21" i="14"/>
  <c r="Z21" i="14"/>
  <c r="AW54" i="14"/>
  <c r="N40" i="10"/>
  <c r="N42" i="10" s="1"/>
  <c r="BG52" i="14"/>
  <c r="BG59" i="14" s="1"/>
  <c r="AR8" i="14"/>
  <c r="AR20" i="14" s="1"/>
  <c r="M54" i="14"/>
  <c r="BF49" i="14"/>
  <c r="BJ20" i="14"/>
  <c r="AH175" i="19"/>
  <c r="AG176" i="19" s="1"/>
  <c r="AN175" i="19"/>
  <c r="AM176" i="19" s="1"/>
  <c r="AX41" i="17"/>
  <c r="Y88" i="19"/>
  <c r="W41" i="17"/>
  <c r="BM51" i="16"/>
  <c r="AO51" i="16"/>
  <c r="AR8" i="12"/>
  <c r="AR26" i="12" s="1"/>
  <c r="AT43" i="12"/>
  <c r="AT45" i="12" s="1"/>
  <c r="AT51" i="12" s="1"/>
  <c r="AR43" i="12"/>
  <c r="AR45" i="12" s="1"/>
  <c r="AR51" i="12" s="1"/>
  <c r="AT26" i="12"/>
  <c r="BF55" i="13"/>
  <c r="BD55" i="13"/>
  <c r="BD57" i="13" s="1"/>
  <c r="BF57" i="13"/>
  <c r="AK26" i="13"/>
  <c r="AK26" i="12"/>
  <c r="AK43" i="12"/>
  <c r="AK45" i="12"/>
  <c r="AK51" i="12" s="1"/>
  <c r="AI43" i="12"/>
  <c r="AI45" i="12" s="1"/>
  <c r="AI51" i="12" s="1"/>
  <c r="AI8" i="12"/>
  <c r="AI26" i="12" s="1"/>
  <c r="E27" i="12"/>
  <c r="J26" i="13"/>
  <c r="J53" i="13"/>
  <c r="J59" i="13" s="1"/>
  <c r="H51" i="13"/>
  <c r="H53" i="13" s="1"/>
  <c r="H59" i="13" s="1"/>
  <c r="J51" i="13"/>
  <c r="C27" i="13"/>
  <c r="E27" i="13"/>
  <c r="BJ45" i="14"/>
  <c r="H8" i="13"/>
  <c r="H26" i="13" s="1"/>
  <c r="BV8" i="12"/>
  <c r="BV26" i="12" s="1"/>
  <c r="BV43" i="12"/>
  <c r="BV45" i="12" s="1"/>
  <c r="BV51" i="12" s="1"/>
  <c r="BX45" i="12"/>
  <c r="BX51" i="12" s="1"/>
  <c r="BX26" i="12"/>
  <c r="BX55" i="11"/>
  <c r="BS42" i="9"/>
  <c r="Q26" i="11"/>
  <c r="AW42" i="9"/>
  <c r="AF69" i="5"/>
  <c r="B27" i="6"/>
  <c r="AM20" i="5"/>
  <c r="AN39" i="5"/>
  <c r="AN42" i="5" s="1"/>
  <c r="AN49" i="5" s="1"/>
  <c r="AM50" i="5" s="1"/>
  <c r="AL8" i="5"/>
  <c r="AL20" i="5" s="1"/>
  <c r="AL39" i="5"/>
  <c r="AL42" i="5" s="1"/>
  <c r="AL49" i="5" s="1"/>
  <c r="AQ49" i="5"/>
  <c r="BJ59" i="14"/>
  <c r="BP21" i="14"/>
  <c r="AU21" i="14"/>
  <c r="AX59" i="14"/>
  <c r="AI52" i="14"/>
  <c r="AI59" i="14" s="1"/>
  <c r="AJ20" i="14"/>
  <c r="AI8" i="14"/>
  <c r="AI20" i="14" s="1"/>
  <c r="AN21" i="14"/>
  <c r="AN8" i="14"/>
  <c r="AR21" i="14"/>
  <c r="AE52" i="14"/>
  <c r="AE59" i="14" s="1"/>
  <c r="AE20" i="14"/>
  <c r="W52" i="14"/>
  <c r="W59" i="14" s="1"/>
  <c r="X20" i="14"/>
  <c r="W8" i="14"/>
  <c r="Y21" i="14"/>
  <c r="Y14" i="14"/>
  <c r="AF21" i="14"/>
  <c r="K21" i="14"/>
  <c r="AH52" i="14"/>
  <c r="AH59" i="14" s="1"/>
  <c r="AH20" i="14"/>
  <c r="BF21" i="14"/>
  <c r="BF8" i="14"/>
  <c r="BD49" i="14"/>
  <c r="K8" i="14"/>
  <c r="K52" i="14"/>
  <c r="K59" i="14" s="1"/>
  <c r="L20" i="14"/>
  <c r="J52" i="14"/>
  <c r="J59" i="14" s="1"/>
  <c r="J20" i="14"/>
  <c r="BV21" i="14"/>
  <c r="M21" i="14"/>
  <c r="M14" i="14"/>
  <c r="Z52" i="14"/>
  <c r="Z59" i="14" s="1"/>
  <c r="AA20" i="14"/>
  <c r="Z8" i="14"/>
  <c r="Z20" i="14" s="1"/>
  <c r="AX21" i="14"/>
  <c r="S52" i="14"/>
  <c r="S59" i="14" s="1"/>
  <c r="S20" i="14"/>
  <c r="Q8" i="14"/>
  <c r="Q20" i="14" s="1"/>
  <c r="AN49" i="14"/>
  <c r="K54" i="14"/>
  <c r="V21" i="14"/>
  <c r="T49" i="14"/>
  <c r="V8" i="14"/>
  <c r="AW21" i="14"/>
  <c r="AW14" i="14"/>
  <c r="T9" i="14"/>
  <c r="T21" i="14" s="1"/>
  <c r="BX21" i="14"/>
  <c r="BX8" i="14"/>
  <c r="BD15" i="10"/>
  <c r="BD26" i="10" s="1"/>
  <c r="BD40" i="10"/>
  <c r="BD42" i="10" s="1"/>
  <c r="BD44" i="10" s="1"/>
  <c r="BF40" i="10"/>
  <c r="BF42" i="10" s="1"/>
  <c r="BF44" i="10" s="1"/>
  <c r="BG44" i="10"/>
  <c r="AS26" i="10"/>
  <c r="CA36" i="10"/>
  <c r="CA38" i="10" s="1"/>
  <c r="BY8" i="10"/>
  <c r="CA26" i="10"/>
  <c r="CC8" i="10"/>
  <c r="BY36" i="10"/>
  <c r="BY38" i="10" s="1"/>
  <c r="E27" i="10"/>
  <c r="BJ26" i="10"/>
  <c r="AU8" i="10"/>
  <c r="AU26" i="10" s="1"/>
  <c r="AV26" i="10"/>
  <c r="AW36" i="10"/>
  <c r="AW38" i="10" s="1"/>
  <c r="AW44" i="10" s="1"/>
  <c r="AU36" i="10"/>
  <c r="AU38" i="10" s="1"/>
  <c r="AU44" i="10" s="1"/>
  <c r="CC15" i="10"/>
  <c r="CA40" i="10"/>
  <c r="CA42" i="10"/>
  <c r="BY40" i="10"/>
  <c r="BY42" i="10" s="1"/>
  <c r="BY15" i="10"/>
  <c r="BE26" i="10"/>
  <c r="E28" i="10"/>
  <c r="BS44" i="10"/>
  <c r="BS26" i="10"/>
  <c r="AX40" i="10"/>
  <c r="AX42" i="10" s="1"/>
  <c r="AX44" i="10" s="1"/>
  <c r="AX15" i="10"/>
  <c r="AX26" i="10" s="1"/>
  <c r="AZ40" i="10"/>
  <c r="AZ42" i="10" s="1"/>
  <c r="AZ44" i="10" s="1"/>
  <c r="Z26" i="10"/>
  <c r="BX44" i="10"/>
  <c r="N36" i="10"/>
  <c r="N38" i="10" s="1"/>
  <c r="N44" i="10" s="1"/>
  <c r="N8" i="10"/>
  <c r="N26" i="10" s="1"/>
  <c r="P36" i="10"/>
  <c r="P38" i="10" s="1"/>
  <c r="P44" i="10" s="1"/>
  <c r="O26" i="10"/>
  <c r="H8" i="10"/>
  <c r="H26" i="10" s="1"/>
  <c r="J36" i="10"/>
  <c r="J38" i="10" s="1"/>
  <c r="J44" i="10" s="1"/>
  <c r="I26" i="10"/>
  <c r="H36" i="10"/>
  <c r="H38" i="10" s="1"/>
  <c r="H44" i="10" s="1"/>
  <c r="C27" i="10"/>
  <c r="CB8" i="10"/>
  <c r="BM44" i="10"/>
  <c r="AR15" i="10"/>
  <c r="AR26" i="10" s="1"/>
  <c r="AT40" i="10"/>
  <c r="AT42" i="10" s="1"/>
  <c r="AT44" i="10" s="1"/>
  <c r="AR40" i="10"/>
  <c r="AR42" i="10" s="1"/>
  <c r="AR44" i="10" s="1"/>
  <c r="CB15" i="10"/>
  <c r="BU44" i="10"/>
  <c r="S36" i="10"/>
  <c r="S38" i="10" s="1"/>
  <c r="S44" i="10" s="1"/>
  <c r="Q36" i="10"/>
  <c r="Q8" i="10"/>
  <c r="Q26" i="10" s="1"/>
  <c r="R26" i="10"/>
  <c r="Q38" i="10"/>
  <c r="Q44" i="10" s="1"/>
  <c r="AF44" i="10"/>
  <c r="AO8" i="10"/>
  <c r="AO26" i="10" s="1"/>
  <c r="AQ36" i="10"/>
  <c r="AQ38" i="10" s="1"/>
  <c r="AQ44" i="10" s="1"/>
  <c r="AO36" i="10"/>
  <c r="AO38" i="10" s="1"/>
  <c r="AO44" i="10" s="1"/>
  <c r="AP26" i="10"/>
  <c r="AZ52" i="14" l="1"/>
  <c r="AZ59" i="14" s="1"/>
  <c r="AZ20" i="14"/>
  <c r="AX8" i="14"/>
  <c r="AX20" i="14" s="1"/>
  <c r="AH70" i="6"/>
  <c r="AG71" i="6" s="1"/>
  <c r="CA44" i="10"/>
  <c r="L71" i="6"/>
  <c r="R50" i="5"/>
  <c r="P52" i="14"/>
  <c r="P59" i="14" s="1"/>
  <c r="P20" i="14"/>
  <c r="N8" i="14"/>
  <c r="N20" i="14" s="1"/>
  <c r="BY59" i="13"/>
  <c r="B28" i="6"/>
  <c r="AF70" i="6"/>
  <c r="AF25" i="6"/>
  <c r="R99" i="5"/>
  <c r="AA50" i="5"/>
  <c r="BY15" i="13"/>
  <c r="BY26" i="13" s="1"/>
  <c r="CA55" i="13"/>
  <c r="CA57" i="13" s="1"/>
  <c r="CA59" i="13" s="1"/>
  <c r="BY55" i="13"/>
  <c r="BY57" i="13" s="1"/>
  <c r="CC15" i="13"/>
  <c r="K26" i="10"/>
  <c r="CA26" i="13"/>
  <c r="BF59" i="13"/>
  <c r="O99" i="5"/>
  <c r="BD15" i="12"/>
  <c r="BD26" i="12" s="1"/>
  <c r="BD47" i="12"/>
  <c r="BD49" i="12" s="1"/>
  <c r="BD51" i="12" s="1"/>
  <c r="BF26" i="12"/>
  <c r="BF47" i="12"/>
  <c r="BF49" i="12" s="1"/>
  <c r="BF51" i="12" s="1"/>
  <c r="E22" i="5"/>
  <c r="AM141" i="6"/>
  <c r="U141" i="6"/>
  <c r="U50" i="5"/>
  <c r="BY59" i="14"/>
  <c r="E28" i="12"/>
  <c r="AA99" i="5"/>
  <c r="E28" i="6"/>
  <c r="L99" i="5"/>
  <c r="BY26" i="10"/>
  <c r="C23" i="14"/>
  <c r="AP50" i="5"/>
  <c r="AG50" i="5"/>
  <c r="AJ50" i="5"/>
  <c r="BX52" i="14"/>
  <c r="BX59" i="14" s="1"/>
  <c r="BX20" i="14"/>
  <c r="BV8" i="14"/>
  <c r="BV20" i="14" s="1"/>
  <c r="V52" i="14"/>
  <c r="V59" i="14" s="1"/>
  <c r="V20" i="14"/>
  <c r="T8" i="14"/>
  <c r="T20" i="14" s="1"/>
  <c r="M57" i="14"/>
  <c r="M59" i="14" s="1"/>
  <c r="M20" i="14"/>
  <c r="K14" i="14"/>
  <c r="K20" i="14" s="1"/>
  <c r="E23" i="14"/>
  <c r="AN52" i="14"/>
  <c r="AN59" i="14" s="1"/>
  <c r="AN20" i="14"/>
  <c r="AL8" i="14"/>
  <c r="AL20" i="14" s="1"/>
  <c r="AW57" i="14"/>
  <c r="AW59" i="14" s="1"/>
  <c r="AW20" i="14"/>
  <c r="AU14" i="14"/>
  <c r="AU20" i="14" s="1"/>
  <c r="BF52" i="14"/>
  <c r="BF59" i="14" s="1"/>
  <c r="BF20" i="14"/>
  <c r="BD8" i="14"/>
  <c r="BD20" i="14" s="1"/>
  <c r="Y57" i="14"/>
  <c r="Y59" i="14" s="1"/>
  <c r="Y20" i="14"/>
  <c r="W14" i="14"/>
  <c r="W20" i="14" s="1"/>
  <c r="BY44" i="10"/>
</calcChain>
</file>

<file path=xl/comments1.xml><?xml version="1.0" encoding="utf-8"?>
<comments xmlns="http://schemas.openxmlformats.org/spreadsheetml/2006/main">
  <authors>
    <author>Евсеенко Андрей Михайлович</author>
    <author>Бажин Антон Александрович</author>
  </authors>
  <commentList>
    <comment ref="A20" authorId="0" shapeId="0">
      <text>
        <r>
          <rPr>
            <b/>
            <sz val="9"/>
            <color indexed="81"/>
            <rFont val="Tahoma"/>
            <family val="2"/>
            <charset val="204"/>
          </rPr>
          <t>Евсеенко Андрей Михайлович:</t>
        </r>
        <r>
          <rPr>
            <sz val="9"/>
            <color indexed="81"/>
            <rFont val="Tahoma"/>
            <family val="2"/>
            <charset val="204"/>
          </rPr>
          <t xml:space="preserve">
РУ-6кВ поселок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  <charset val="204"/>
          </rPr>
          <t>по паспорту</t>
        </r>
      </text>
    </comment>
  </commentList>
</comments>
</file>

<file path=xl/sharedStrings.xml><?xml version="1.0" encoding="utf-8"?>
<sst xmlns="http://schemas.openxmlformats.org/spreadsheetml/2006/main" count="9682" uniqueCount="433">
  <si>
    <t>1Т</t>
  </si>
  <si>
    <t>2Т</t>
  </si>
  <si>
    <t>+j</t>
  </si>
  <si>
    <t>Дата:</t>
  </si>
  <si>
    <t>Ток</t>
  </si>
  <si>
    <t>Уст.ЧАПВ</t>
  </si>
  <si>
    <t>Уст.АЧР</t>
  </si>
  <si>
    <t>герц</t>
  </si>
  <si>
    <t>сек</t>
  </si>
  <si>
    <t>Pнагр.</t>
  </si>
  <si>
    <t>Qнагр.</t>
  </si>
  <si>
    <t>Ведомость контрольного замера по п/ст:</t>
  </si>
  <si>
    <t>Замер по трансформаторам</t>
  </si>
  <si>
    <t>Нагрузка</t>
  </si>
  <si>
    <t>Напряж.</t>
  </si>
  <si>
    <t>РПН (ПБВ)</t>
  </si>
  <si>
    <t xml:space="preserve"> Sном</t>
  </si>
  <si>
    <t>Диспет.</t>
  </si>
  <si>
    <t>наимен.</t>
  </si>
  <si>
    <t>РАСЧЕТ ПОТЕРЬ  В ТРАНСФОРМАТОРАХ</t>
  </si>
  <si>
    <t>Суммарная нагрузка</t>
  </si>
  <si>
    <t xml:space="preserve">ПС с потерями </t>
  </si>
  <si>
    <t>Потери пост.</t>
  </si>
  <si>
    <t>Потери перем.</t>
  </si>
  <si>
    <t xml:space="preserve">  Рпер+j  Qпер.</t>
  </si>
  <si>
    <t>S p</t>
  </si>
  <si>
    <t xml:space="preserve">   Pкз =</t>
  </si>
  <si>
    <t>Uкз%=</t>
  </si>
  <si>
    <t>МВА</t>
  </si>
  <si>
    <t>Полная нагрузка с потерями</t>
  </si>
  <si>
    <t>А</t>
  </si>
  <si>
    <t>МВт</t>
  </si>
  <si>
    <t>Мвар</t>
  </si>
  <si>
    <t>110кВ</t>
  </si>
  <si>
    <t>10кВ</t>
  </si>
  <si>
    <t>Итого</t>
  </si>
  <si>
    <t>35кВ</t>
  </si>
  <si>
    <t>cosФ(35)=</t>
  </si>
  <si>
    <t>tgФ(35)=</t>
  </si>
  <si>
    <t xml:space="preserve">РПН </t>
  </si>
  <si>
    <t>Замер по</t>
  </si>
  <si>
    <t>6кВ</t>
  </si>
  <si>
    <t>cosФ(6)=</t>
  </si>
  <si>
    <t>tgФ(6)=</t>
  </si>
  <si>
    <t>МВАр</t>
  </si>
  <si>
    <t xml:space="preserve">  Px.x+j    Qx.x.</t>
  </si>
  <si>
    <t>Ркз(110)=0,089</t>
  </si>
  <si>
    <t>cosФ(10)=</t>
  </si>
  <si>
    <t>tgФ(10)=</t>
  </si>
  <si>
    <t>220кВ</t>
  </si>
  <si>
    <t>,,,,,,,,</t>
  </si>
  <si>
    <t>ВЛ-      кВ</t>
  </si>
  <si>
    <t>Ркз(6)=</t>
  </si>
  <si>
    <t>Uкз%(110)=</t>
  </si>
  <si>
    <t>Uкз%(35)=</t>
  </si>
  <si>
    <t>Uкз%(6)=</t>
  </si>
  <si>
    <t>Uкз%(10)=</t>
  </si>
  <si>
    <t>Ркз(10)=</t>
  </si>
  <si>
    <t>Ркз(35)=</t>
  </si>
  <si>
    <t>Ркз(110)=</t>
  </si>
  <si>
    <t>Приложение 2</t>
  </si>
  <si>
    <t>Типовой бланк</t>
  </si>
  <si>
    <t>час.*</t>
  </si>
  <si>
    <t>* -</t>
  </si>
  <si>
    <t>…</t>
  </si>
  <si>
    <t>время уральское</t>
  </si>
  <si>
    <t>Ведомость контрольного замера по ПС: 110/10 кВ «МДФ»</t>
  </si>
  <si>
    <t>1 час.</t>
  </si>
  <si>
    <t>2 час.</t>
  </si>
  <si>
    <t>3 час.</t>
  </si>
  <si>
    <t>4 час.</t>
  </si>
  <si>
    <t>5 час.</t>
  </si>
  <si>
    <t>6 час.</t>
  </si>
  <si>
    <t>7 час.</t>
  </si>
  <si>
    <t>8 час.</t>
  </si>
  <si>
    <t>9 час.</t>
  </si>
  <si>
    <t>10 час.</t>
  </si>
  <si>
    <t>11 час.</t>
  </si>
  <si>
    <t>12 час.</t>
  </si>
  <si>
    <t>Диспет. 
наимен.</t>
  </si>
  <si>
    <t xml:space="preserve"> S ном, 
МВА</t>
  </si>
  <si>
    <t>110 кВ</t>
  </si>
  <si>
    <t>10 кВ</t>
  </si>
  <si>
    <t>ПБВ</t>
  </si>
  <si>
    <t>-</t>
  </si>
  <si>
    <t xml:space="preserve">2Т </t>
  </si>
  <si>
    <t>Всего</t>
  </si>
  <si>
    <t>cosФ(110)=</t>
  </si>
  <si>
    <t>tgФ(110)=</t>
  </si>
  <si>
    <t>ВЛ- 10 кВ</t>
  </si>
  <si>
    <t>яч. №15</t>
  </si>
  <si>
    <t>ф."Мортка-1"</t>
  </si>
  <si>
    <t>яч. №19</t>
  </si>
  <si>
    <t>ф."Завод-1"</t>
  </si>
  <si>
    <t>яч. №4</t>
  </si>
  <si>
    <t>ф."Микрорайон"</t>
  </si>
  <si>
    <t>яч. №16</t>
  </si>
  <si>
    <t>ф."Мортка-2"</t>
  </si>
  <si>
    <t>яч. №20</t>
  </si>
  <si>
    <t>ф."Завод-2"</t>
  </si>
  <si>
    <t>ТСН-1</t>
  </si>
  <si>
    <t>ТСН-2</t>
  </si>
  <si>
    <t>Итого по отх.ВЛ от 1С-10 кВ</t>
  </si>
  <si>
    <t>Итого по отх.ВЛ от 2С-10 кВ</t>
  </si>
  <si>
    <t>Итого по ВЛ-10 кВ</t>
  </si>
  <si>
    <t>Рхх=</t>
  </si>
  <si>
    <t>Qхх=</t>
  </si>
  <si>
    <t>средневзв тангенс</t>
  </si>
  <si>
    <t>13 час.</t>
  </si>
  <si>
    <t>14 час.</t>
  </si>
  <si>
    <t>15 час.</t>
  </si>
  <si>
    <t>16 час.</t>
  </si>
  <si>
    <t>17 час.</t>
  </si>
  <si>
    <t>18 час.</t>
  </si>
  <si>
    <t>19 час.</t>
  </si>
  <si>
    <t>20 час.</t>
  </si>
  <si>
    <t>21 час.</t>
  </si>
  <si>
    <t>22 час.</t>
  </si>
  <si>
    <t>23 час.</t>
  </si>
  <si>
    <t>24 час.</t>
  </si>
  <si>
    <t xml:space="preserve"> </t>
  </si>
  <si>
    <t>Ведомость контрольного замера по ПС: 110/35/10 кВ «ЮМАС»</t>
  </si>
  <si>
    <t>35 кВ</t>
  </si>
  <si>
    <t>ВЛ- 35 кВ</t>
  </si>
  <si>
    <t>ВЛ-35 кВ</t>
  </si>
  <si>
    <t>ф."ВЛ Ямки"</t>
  </si>
  <si>
    <t>ф."ВЛ ЛПК"</t>
  </si>
  <si>
    <t>Итого по отх.ВЛ от 1С-35 кВ</t>
  </si>
  <si>
    <t>Итого по отх.ВЛ от 2С-35 кВ</t>
  </si>
  <si>
    <t>Итого по ВЛ-35 кВ</t>
  </si>
  <si>
    <t>яч.5</t>
  </si>
  <si>
    <t>ф."Нефтяник-1"</t>
  </si>
  <si>
    <t>яч.7</t>
  </si>
  <si>
    <t>ф."Луговой"</t>
  </si>
  <si>
    <t>яч.9</t>
  </si>
  <si>
    <t>ф."Вокзал"</t>
  </si>
  <si>
    <t>яч.11</t>
  </si>
  <si>
    <t>ф."Лиственничный"</t>
  </si>
  <si>
    <t>яч.15</t>
  </si>
  <si>
    <t>ф."Поселковый-1"</t>
  </si>
  <si>
    <t>яч.17</t>
  </si>
  <si>
    <t>ф."РП№3-1"</t>
  </si>
  <si>
    <t>яч.4</t>
  </si>
  <si>
    <t>ф."Станция"</t>
  </si>
  <si>
    <t>яч.6</t>
  </si>
  <si>
    <t>ф."Леуши"</t>
  </si>
  <si>
    <t>яч.8</t>
  </si>
  <si>
    <t>ф."Промплощадка"</t>
  </si>
  <si>
    <t>яч.16</t>
  </si>
  <si>
    <t>ф."Поселковый-2"</t>
  </si>
  <si>
    <t>яч.18</t>
  </si>
  <si>
    <t>ф."РП№3-2"</t>
  </si>
  <si>
    <t>яч.20</t>
  </si>
  <si>
    <t>ф."Нефтяник-2"</t>
  </si>
  <si>
    <r>
      <t xml:space="preserve">Ведомость контрольного замера по ПС: </t>
    </r>
    <r>
      <rPr>
        <b/>
        <sz val="20"/>
        <rFont val="Times New Roman"/>
        <family val="1"/>
        <charset val="204"/>
      </rPr>
      <t>110/35/6 кВ «Березово»</t>
    </r>
  </si>
  <si>
    <t>Дата: 18.12.2024</t>
  </si>
  <si>
    <t>1 час</t>
  </si>
  <si>
    <t>2 час</t>
  </si>
  <si>
    <t>3 час</t>
  </si>
  <si>
    <t>4 час</t>
  </si>
  <si>
    <t>5 час</t>
  </si>
  <si>
    <t>6 час</t>
  </si>
  <si>
    <t>7 час</t>
  </si>
  <si>
    <t>8 час</t>
  </si>
  <si>
    <t>9 час</t>
  </si>
  <si>
    <t>10 час</t>
  </si>
  <si>
    <t>11 час</t>
  </si>
  <si>
    <t>12 час</t>
  </si>
  <si>
    <t>13 час</t>
  </si>
  <si>
    <t>14 час</t>
  </si>
  <si>
    <t>15 час</t>
  </si>
  <si>
    <t>16 час</t>
  </si>
  <si>
    <t>17 час</t>
  </si>
  <si>
    <t>18 час</t>
  </si>
  <si>
    <t>19 час</t>
  </si>
  <si>
    <t>20 час</t>
  </si>
  <si>
    <t>21 час</t>
  </si>
  <si>
    <t>22 час</t>
  </si>
  <si>
    <t>23 час</t>
  </si>
  <si>
    <t>00 час</t>
  </si>
  <si>
    <t>Диспет.
наим.</t>
  </si>
  <si>
    <t>Sном, 
MBA</t>
  </si>
  <si>
    <t>1ТСН</t>
  </si>
  <si>
    <t>2ТСН</t>
  </si>
  <si>
    <t>cosф=</t>
  </si>
  <si>
    <t>tgф=</t>
  </si>
  <si>
    <t>ВЛ-6кВ</t>
  </si>
  <si>
    <t>яч.1, ф.3</t>
  </si>
  <si>
    <t>яч.13, ф.6</t>
  </si>
  <si>
    <t>яч.21, ф.5</t>
  </si>
  <si>
    <t>яч.27, ф.КПП-1</t>
  </si>
  <si>
    <t>1С-6</t>
  </si>
  <si>
    <t>яч.18, ф.1</t>
  </si>
  <si>
    <t>яч.22, ф.4</t>
  </si>
  <si>
    <t>яч.24, ф.7</t>
  </si>
  <si>
    <t>яч.2, ф. КПП-2</t>
  </si>
  <si>
    <t>яч.10, ф. 2</t>
  </si>
  <si>
    <t>2С-6</t>
  </si>
  <si>
    <r>
      <t xml:space="preserve">Ведомость контрольного замера по ПС: </t>
    </r>
    <r>
      <rPr>
        <b/>
        <sz val="20"/>
        <rFont val="Times New Roman"/>
        <family val="1"/>
        <charset val="204"/>
      </rPr>
      <t>110/10 кВ «Лорба»</t>
    </r>
  </si>
  <si>
    <t>1Т (КРУН-6 яч. 1 + ТСН ПС 110/6 кВ Лорба)</t>
  </si>
  <si>
    <t>6 кВ</t>
  </si>
  <si>
    <t>яч. 4 ф. "Поселок"</t>
  </si>
  <si>
    <t xml:space="preserve">  Px.x+j  Qx.x.</t>
  </si>
  <si>
    <t xml:space="preserve">  Рпер+j  Qпер</t>
  </si>
  <si>
    <t>Ркз=</t>
  </si>
  <si>
    <t>время московское</t>
  </si>
  <si>
    <r>
      <t xml:space="preserve">Ведомость контрольного замера по ПС: </t>
    </r>
    <r>
      <rPr>
        <b/>
        <sz val="20"/>
        <rFont val="Times New Roman"/>
        <family val="1"/>
        <charset val="204"/>
      </rPr>
      <t>110/10 кВ «Полноват»</t>
    </r>
  </si>
  <si>
    <t>РПН</t>
  </si>
  <si>
    <t>1Т  cosф=</t>
  </si>
  <si>
    <t>2Т  cosф=</t>
  </si>
  <si>
    <t>ВЛ-10кВ</t>
  </si>
  <si>
    <t>РУ-10кВ яч.5 ф. "РММ"</t>
  </si>
  <si>
    <t>РУ-10кВ яч.6 ф. "Поселок"</t>
  </si>
  <si>
    <t>РУ-10кВ яч.7 ф. "Больница"</t>
  </si>
  <si>
    <r>
      <t xml:space="preserve">Ведомость контрольного замера по ПС: </t>
    </r>
    <r>
      <rPr>
        <b/>
        <sz val="20"/>
        <rFont val="Times New Roman"/>
        <family val="1"/>
        <charset val="204"/>
      </rPr>
      <t>110/10 кВ «Шеркалы»</t>
    </r>
  </si>
  <si>
    <t>1Т cosф=</t>
  </si>
  <si>
    <t>tgФ=</t>
  </si>
  <si>
    <t>2Т cosф=</t>
  </si>
  <si>
    <t>РУ-10кВ яч.№3 ф."Посёлок"</t>
  </si>
  <si>
    <t>РУ-10кВ яч.№4 ф."ЛЗУ"</t>
  </si>
  <si>
    <t>РУ-10кВ яч.№16 ф."Быстрый"</t>
  </si>
  <si>
    <r>
      <t xml:space="preserve">Ведомость контрольного замера по ПС: </t>
    </r>
    <r>
      <rPr>
        <b/>
        <sz val="20"/>
        <rFont val="Times New Roman"/>
        <family val="1"/>
        <charset val="204"/>
      </rPr>
      <t>110/10 кВ «Сергино»</t>
    </r>
  </si>
  <si>
    <t>cosФ1=</t>
  </si>
  <si>
    <t>tgФ1=</t>
  </si>
  <si>
    <t>cosФ2=</t>
  </si>
  <si>
    <t>tgФ2=</t>
  </si>
  <si>
    <t>1С-10</t>
  </si>
  <si>
    <t>1 Секция Шин . РУ-10кВ яч.№3 ф."Поселок-1"</t>
  </si>
  <si>
    <t>1 Секция Шин . РУ-10кВ яч.№5 ф."Поселок-3"</t>
  </si>
  <si>
    <t>1 Секция Шин . РУ-10кВ яч.№13 ф."ЦОК-1"</t>
  </si>
  <si>
    <t>1 Секция Шин . РУ-10кВ яч.№15 ф."БПТОиК-1"</t>
  </si>
  <si>
    <t>1 Секция Шин . РУ-10кВ яч.№17 ф."РИТЭК-1"</t>
  </si>
  <si>
    <t>1 Секция Шин . РУ-10кВ яч.№19 ф."ПТПС"</t>
  </si>
  <si>
    <t>2С-10</t>
  </si>
  <si>
    <t>2 Секция Шин . РУ-10кВ яч.№4 ф."Поселок-2"</t>
  </si>
  <si>
    <t>2 Секция Шин . РУ-10кВ яч.№6 ф."Поселок-4"</t>
  </si>
  <si>
    <t>2 Секция Шин . РУ-10кВ яч.№14 ф."Ж/дорога"</t>
  </si>
  <si>
    <t>2 Секция Шин . РУ-10кВ яч.№16 ф."БПТОиК-2"</t>
  </si>
  <si>
    <t>2 Секция Шин . РУ-10кВ яч.№18 ф."РИТЭК-2"</t>
  </si>
  <si>
    <t>2 Секция Шин . РУ-10кВ яч.№20 ф."ЦОК-2"</t>
  </si>
  <si>
    <r>
      <t xml:space="preserve">Ведомость контрольного замера по ПС: </t>
    </r>
    <r>
      <rPr>
        <b/>
        <sz val="20"/>
        <rFont val="Times New Roman"/>
        <family val="1"/>
        <charset val="204"/>
      </rPr>
      <t>110/10 кВ «Кода»</t>
    </r>
  </si>
  <si>
    <t>яч.№3 ф."Водозабор"</t>
  </si>
  <si>
    <t>яч.№5 ф."Центр"</t>
  </si>
  <si>
    <t>яч.№11 ф."Половинка"</t>
  </si>
  <si>
    <t>яч.№4 ф."Кормужиханка"</t>
  </si>
  <si>
    <t>яч.№6 ф."Пож.Депо"</t>
  </si>
  <si>
    <t>яч.№8 ф."Эл.Станция"</t>
  </si>
  <si>
    <t>яч.№16 ф."Сахалин"</t>
  </si>
  <si>
    <t>яч.№14 ф."Водозабор-2"</t>
  </si>
  <si>
    <r>
      <t xml:space="preserve">Ведомость контрольного замера по ПС: </t>
    </r>
    <r>
      <rPr>
        <b/>
        <sz val="20"/>
        <rFont val="Times New Roman"/>
        <family val="1"/>
        <charset val="204"/>
      </rPr>
      <t>110/10 кВ «Чара»</t>
    </r>
  </si>
  <si>
    <t>1Т cosФ=</t>
  </si>
  <si>
    <t>2Т cosФ=</t>
  </si>
  <si>
    <t>яч.19 ф. "ЛХК-1"</t>
  </si>
  <si>
    <t>ЛХК-1 яч.№19</t>
  </si>
  <si>
    <t>яч.3 ф. "РП-6-1"</t>
  </si>
  <si>
    <t>РП-6-1 яч.№3</t>
  </si>
  <si>
    <t>яч.27 ф. "РП-7-1"</t>
  </si>
  <si>
    <t>РП-7-1 яч.№27</t>
  </si>
  <si>
    <t>яч.13 ф. "РП-17-1"</t>
  </si>
  <si>
    <t>РП-17-1 яч.№13</t>
  </si>
  <si>
    <t>яч.17 ф. "Таежный"</t>
  </si>
  <si>
    <t>Таежный яч.№17</t>
  </si>
  <si>
    <t>яч.15 ф. "Транзит-1"</t>
  </si>
  <si>
    <t>Транзит-1 яч.№15</t>
  </si>
  <si>
    <t>яч.25 ф. "ТРК-1"</t>
  </si>
  <si>
    <t>ТРК-1 яч.№25</t>
  </si>
  <si>
    <t>яч.7 ф. "Пождепо-1"</t>
  </si>
  <si>
    <t>Пож.депо яч.№7</t>
  </si>
  <si>
    <t>яч.16 ф. "ЛХК-2"</t>
  </si>
  <si>
    <t>ЛХК-2 яч.№16</t>
  </si>
  <si>
    <t>яч.8 ф. "РП-6-2"</t>
  </si>
  <si>
    <t>РП-6-2 яч.№8</t>
  </si>
  <si>
    <t>яч.4 ф. "РП-17-2"</t>
  </si>
  <si>
    <t>РП-17-2 яч.№4</t>
  </si>
  <si>
    <t>яч.10 ф. "Транзит-2"</t>
  </si>
  <si>
    <t>Транзит-2 яч.№10</t>
  </si>
  <si>
    <t>яч.26 ф. "ТРК-2"</t>
  </si>
  <si>
    <t>ТРК-2 яч.№26</t>
  </si>
  <si>
    <t>яч.18 ф. "Финский комплекс"</t>
  </si>
  <si>
    <t>Финский компл. яч.№18</t>
  </si>
  <si>
    <t>яч.24 ф. "Центральный"</t>
  </si>
  <si>
    <t>Центральный яч.№24</t>
  </si>
  <si>
    <t>яч.22 ф. "Пождепо-2"</t>
  </si>
  <si>
    <t>резерв яч.№22</t>
  </si>
  <si>
    <t>пояснение (при ремонтной схеме):</t>
  </si>
  <si>
    <t>Приложение2</t>
  </si>
  <si>
    <t>АВАНГАРД</t>
  </si>
  <si>
    <t>час.</t>
  </si>
  <si>
    <t>8</t>
  </si>
  <si>
    <t>ВЛ 10 кВ</t>
  </si>
  <si>
    <t>Рыбозавод-1</t>
  </si>
  <si>
    <t>Рыбозавод-2</t>
  </si>
  <si>
    <t>РП-22-1</t>
  </si>
  <si>
    <t>РП-22-2</t>
  </si>
  <si>
    <t>Самарово-1</t>
  </si>
  <si>
    <t>Самарово-2</t>
  </si>
  <si>
    <t>РП-23-1</t>
  </si>
  <si>
    <t>РП-23-2</t>
  </si>
  <si>
    <t>РП-20-1</t>
  </si>
  <si>
    <t>РП-20-2</t>
  </si>
  <si>
    <t>РП-25-1</t>
  </si>
  <si>
    <t>РП-25-2</t>
  </si>
  <si>
    <t>ТП-205-1</t>
  </si>
  <si>
    <t>ТП-205-2</t>
  </si>
  <si>
    <r>
      <t>Р</t>
    </r>
    <r>
      <rPr>
        <sz val="7"/>
        <rFont val="Arial Cyr"/>
        <charset val="204"/>
      </rPr>
      <t>хх</t>
    </r>
    <r>
      <rPr>
        <sz val="8"/>
        <rFont val="Arial Cyr"/>
        <family val="2"/>
        <charset val="204"/>
      </rPr>
      <t>=</t>
    </r>
  </si>
  <si>
    <r>
      <t>Q</t>
    </r>
    <r>
      <rPr>
        <sz val="7"/>
        <rFont val="Arial Cyr"/>
        <charset val="204"/>
      </rPr>
      <t>хх</t>
    </r>
    <r>
      <rPr>
        <sz val="9"/>
        <rFont val="Arial Cyr"/>
        <family val="2"/>
        <charset val="204"/>
      </rPr>
      <t>=</t>
    </r>
  </si>
  <si>
    <t xml:space="preserve">  время московское</t>
  </si>
  <si>
    <t>ЗАПАДНАЯ</t>
  </si>
  <si>
    <t>6</t>
  </si>
  <si>
    <t>РП-16-1</t>
  </si>
  <si>
    <t>РП-16-2</t>
  </si>
  <si>
    <t>РП-40-1</t>
  </si>
  <si>
    <t>РП-40-2</t>
  </si>
  <si>
    <t>РП-41-1</t>
  </si>
  <si>
    <t>РП-41-2</t>
  </si>
  <si>
    <t>РП-42-1</t>
  </si>
  <si>
    <t>РП-42-2</t>
  </si>
  <si>
    <t>ТП-43-1</t>
  </si>
  <si>
    <t>РП-43-2</t>
  </si>
  <si>
    <t>РП-44-1</t>
  </si>
  <si>
    <t>РП-44-2</t>
  </si>
  <si>
    <t>Лента-1</t>
  </si>
  <si>
    <t>Лента-2</t>
  </si>
  <si>
    <t xml:space="preserve">  время Уральское</t>
  </si>
  <si>
    <t>САМАРОВО</t>
  </si>
  <si>
    <t>РП-30-1</t>
  </si>
  <si>
    <t>РП-30-2</t>
  </si>
  <si>
    <t>РП-31-1</t>
  </si>
  <si>
    <t>РП-31-2</t>
  </si>
  <si>
    <t>РП-32-1</t>
  </si>
  <si>
    <t>РП-32-2</t>
  </si>
  <si>
    <t>РП-33-1</t>
  </si>
  <si>
    <t>РП-33-2</t>
  </si>
  <si>
    <t>РП-34-1</t>
  </si>
  <si>
    <t>РП-34-2</t>
  </si>
  <si>
    <t>ТП-306-1</t>
  </si>
  <si>
    <t>ТП-306-2</t>
  </si>
  <si>
    <t>ТП-311-1</t>
  </si>
  <si>
    <t>ТП-311-2</t>
  </si>
  <si>
    <t>Авангард-1</t>
  </si>
  <si>
    <t>Авангард-2</t>
  </si>
  <si>
    <t>Uкз(110)=</t>
  </si>
  <si>
    <t>самарово</t>
  </si>
  <si>
    <t>РПН 1Т</t>
  </si>
  <si>
    <t>U-110 1Т</t>
  </si>
  <si>
    <t>U-10 1Т</t>
  </si>
  <si>
    <t>РПН 2Т</t>
  </si>
  <si>
    <t>U-110 2Т</t>
  </si>
  <si>
    <t>U-10 2Т</t>
  </si>
  <si>
    <t>В-110 1Т</t>
  </si>
  <si>
    <t>В-10 1Т</t>
  </si>
  <si>
    <t xml:space="preserve">В-110 2Т </t>
  </si>
  <si>
    <t>В-10 2Т</t>
  </si>
  <si>
    <t>РП-32 резерв-1</t>
  </si>
  <si>
    <t>РП-32 резерв-2</t>
  </si>
  <si>
    <t>иртыш-1</t>
  </si>
  <si>
    <t>иртыш-2</t>
  </si>
  <si>
    <t>1</t>
  </si>
  <si>
    <t>2</t>
  </si>
  <si>
    <t>3</t>
  </si>
  <si>
    <t>4</t>
  </si>
  <si>
    <t>5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</si>
  <si>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</si>
  <si>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</si>
  <si>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</si>
  <si>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</si>
  <si>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</si>
  <si>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</si>
  <si>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</si>
  <si>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</si>
  <si>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</si>
  <si>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</si>
  <si>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</si>
  <si>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</si>
  <si>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</si>
  <si>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</si>
  <si>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</si>
  <si>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</si>
  <si>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</si>
  <si>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ГИБДД</t>
  </si>
  <si>
    <t>ВЛ 35 кВ</t>
  </si>
  <si>
    <t>Резерв-1</t>
  </si>
  <si>
    <t>Резерв-2</t>
  </si>
  <si>
    <t>Шапша-1</t>
  </si>
  <si>
    <t>Шапша-2</t>
  </si>
  <si>
    <t>Ярки-1</t>
  </si>
  <si>
    <t>Ярки-2</t>
  </si>
  <si>
    <t>ЧАПВ</t>
  </si>
  <si>
    <t>АЧР-1(2)</t>
  </si>
  <si>
    <t>яч. №3</t>
  </si>
  <si>
    <t>яч. №11</t>
  </si>
  <si>
    <t>яч. №12</t>
  </si>
  <si>
    <t>яч. №21</t>
  </si>
  <si>
    <t>яч. №14</t>
  </si>
  <si>
    <r>
      <t>Р</t>
    </r>
    <r>
      <rPr>
        <sz val="7"/>
        <rFont val="Arial Cyr"/>
        <charset val="204"/>
      </rPr>
      <t>хх</t>
    </r>
    <r>
      <rPr>
        <sz val="8"/>
        <rFont val="Arial Cyr"/>
        <charset val="204"/>
      </rPr>
      <t>=</t>
    </r>
  </si>
  <si>
    <r>
      <t>Q</t>
    </r>
    <r>
      <rPr>
        <sz val="7"/>
        <rFont val="Arial Cyr"/>
        <charset val="204"/>
      </rPr>
      <t>хх</t>
    </r>
    <r>
      <rPr>
        <sz val="9"/>
        <rFont val="Arial Cyr"/>
        <charset val="204"/>
      </rPr>
      <t>=</t>
    </r>
  </si>
  <si>
    <t>Приложение № 1</t>
  </si>
  <si>
    <t>Ведомость контрольного замера по ПС: 110/10/6 кВ «Пионерная-2»</t>
  </si>
  <si>
    <t>1 Секция шин . РУ-10кВ яч.37 ф.РП-104 яч.7</t>
  </si>
  <si>
    <t>1 Секция шин . РУ-10кВ яч.39 ф.ТП-220 яч.1</t>
  </si>
  <si>
    <t>1 Секция шин . РУ-10кВ яч.43 ф. Набережная 1-1</t>
  </si>
  <si>
    <t>1 Секция шин . РУ-10кВ яч.45 ф. БКТП ГСК</t>
  </si>
  <si>
    <t>1 Секция шин . РУ-10кВ яч.47 ф.ТП-589 яч.11</t>
  </si>
  <si>
    <t>1 Секция шин . РУ-10кВ яч.51 "Восход-1"</t>
  </si>
  <si>
    <t>1 Секция шин . РУ-10кВ яч.59 ф.ТП-200 яч.8</t>
  </si>
  <si>
    <t>1 Секция шин . РУ-10кВ яч.61 ф.ТП-219 яч.5</t>
  </si>
  <si>
    <t>2 Секция шин . РУ-10кВ яч.40 ф. Резерв</t>
  </si>
  <si>
    <t>2 Секция шин . РУ-10кВ яч.42 ф.ТП-220 яч.2</t>
  </si>
  <si>
    <t>2 Секция шин . РУ-10кВ яч.44 ф. Набережная-1-2</t>
  </si>
  <si>
    <t>2 Секция шин . РУ-10кВ яч.48 ф.ТП-200 яч.7</t>
  </si>
  <si>
    <t>2 Секция шин . РУ-10кВ яч.54 ф.ТП-219 яч.6</t>
  </si>
  <si>
    <t>2 Секция шин . РУ-10кВ яч.56 ф.ТП-589 яч.12</t>
  </si>
  <si>
    <t>2 Секция шин . РУ-10кВ яч.58 ф.РП-104 яч.19</t>
  </si>
  <si>
    <t>2 Секция шин . РУ-10кВ яч.60 "Восход-2"</t>
  </si>
  <si>
    <t>ВЛ- 6 кВ</t>
  </si>
  <si>
    <t>1 Секция шин . РУ-6кВ яч.5 ф.РП-101 яч.4</t>
  </si>
  <si>
    <t>1 Секция шин . РУ-6кВ яч.7 ф.ТП-525 яч.3</t>
  </si>
  <si>
    <t>1 Секция шин . РУ-6кВ яч.9 ф.ТП-216 яч.3</t>
  </si>
  <si>
    <t>1 Секция шин . РУ-6кВ яч.13 ф.ТП-ИОЦ яч.2</t>
  </si>
  <si>
    <t>1 Секция шин . РУ-6кВ яч.23 ф.РП-128А яч.3</t>
  </si>
  <si>
    <t>1 Секция шин . РУ-6кВ яч.27 ф.РП-100 яч.5</t>
  </si>
  <si>
    <t>2 Секция шин . РУ-6кВ яч.8 ф.ТП-ИОЦ яч.6</t>
  </si>
  <si>
    <t>2 Секция шин . РУ-6кВ яч.10 ф.РП-101 яч.1</t>
  </si>
  <si>
    <t>2 Секция шин . РУ-6кВ яч.12 ф.ТП-Нефтяник-2</t>
  </si>
  <si>
    <t>2 Секция шин . РУ-6кВ яч.14 ф.ТП-216 яч.6</t>
  </si>
  <si>
    <t>2 Секция шин . РУ-6кВ яч.18 ф.ТП-525 яч.7</t>
  </si>
  <si>
    <t>2 Секция шин . РУ-6кВ яч.20 ф.РП-100 яч.4</t>
  </si>
  <si>
    <t>2 Секция шин . РУ-6кВ яч.22 ф.ТП-212 яч.2</t>
  </si>
  <si>
    <t>2 Секция шин . РУ-6кВ яч.30 ф.РП-128А яч.26</t>
  </si>
  <si>
    <t>Итого по отх.ВЛ от 1С-6 кВ</t>
  </si>
  <si>
    <t>Итого по отх.ВЛ от 2С-6 кВ</t>
  </si>
  <si>
    <t>Итого по ВЛ-6 кВ</t>
  </si>
  <si>
    <t>время местное (UTC +05) Екатеринбург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</si>
</sst>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_-* #,##0.00_р_._-;\-* #,##0.00_р_._-;_-* &quot;-&quot;??_р_._-;_-@_-"/>
    <numFmt numFmtId="165" formatCode="0.0"/>
    <numFmt numFmtId="166" formatCode="0.0000"/>
    <numFmt numFmtId="167" formatCode="0.000"/>
    <numFmt numFmtId="168" formatCode="_-* #,##0.000_р_._-;\-* #,##0.000_р_._-;_-* &quot;-&quot;??_р_._-;_-@_-"/>
    <numFmt numFmtId="169" formatCode="_-* #,##0.000\ _₽_-;\-* #,##0.000\ _₽_-;_-* &quot;-&quot;???\ _₽_-;_-@_-"/>
    <numFmt numFmtId="170" formatCode="#,##0.000_ ;\-#,##0.000\ "/>
    <numFmt numFmtId="171" formatCode="0.00000"/>
    <numFmt numFmtId="172" formatCode="_-* #,##0.000000_р_._-;\-* #,##0.000000_р_._-;_-* &quot;-&quot;??_р_._-;_-@_-"/>
    <numFmt numFmtId="173" formatCode="_-* #,##0_р_._-;\-* #,##0_р_._-;_-* &quot;-&quot;??_р_._-;_-@_-"/>
    <numFmt numFmtId="174" formatCode="_-* #,##0.0_р_._-;\-* #,##0.0_р_._-;_-* &quot;-&quot;??_р_._-;_-@_-"/>
    <numFmt numFmtId="175" formatCode="_-* #,##0.00000_р_._-;\-* #,##0.00000_р_._-;_-* &quot;-&quot;??_р_._-;_-@_-"/>
    <numFmt numFmtId="176" formatCode="_-* #,##0.0000_р_._-;\-* #,##0.0000_р_._-;_-* &quot;-&quot;??_р_._-;_-@_-"/>
    <numFmt numFmtId="177" formatCode="0.000000"/>
  </numFmts>
  <fonts count="60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4"/>
      <name val="Arial Cyr"/>
      <family val="2"/>
      <charset val="204"/>
    </font>
    <font>
      <sz val="11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4"/>
      <name val="Arial Cyr"/>
      <family val="2"/>
      <charset val="204"/>
    </font>
    <font>
      <sz val="12"/>
      <name val="Arial Cyr"/>
      <charset val="204"/>
    </font>
    <font>
      <b/>
      <sz val="20"/>
      <name val="Times New Roman"/>
      <family val="1"/>
      <charset val="204"/>
    </font>
    <font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</font>
    <font>
      <sz val="13"/>
      <color indexed="12"/>
      <name val="Times New Roman"/>
      <family val="1"/>
      <charset val="204"/>
    </font>
    <font>
      <sz val="11"/>
      <name val="Arial Cyr"/>
      <charset val="204"/>
    </font>
    <font>
      <sz val="14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color indexed="10"/>
      <name val="Times New Roman"/>
      <family val="1"/>
      <charset val="204"/>
    </font>
    <font>
      <sz val="13"/>
      <color indexed="1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name val="Arial Cyr"/>
      <charset val="204"/>
    </font>
    <font>
      <b/>
      <sz val="9"/>
      <name val="Arial Cyr"/>
      <charset val="204"/>
    </font>
    <font>
      <sz val="8"/>
      <name val="Arial Cyr"/>
      <charset val="204"/>
    </font>
    <font>
      <b/>
      <sz val="10"/>
      <color indexed="10"/>
      <name val="Arial Cyr"/>
      <charset val="204"/>
    </font>
    <font>
      <b/>
      <sz val="10"/>
      <color indexed="56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3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0"/>
      <color theme="1"/>
      <name val="Arial Cyr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family val="2"/>
      <charset val="204"/>
    </font>
    <font>
      <sz val="7"/>
      <name val="Arial Cyr"/>
      <charset val="204"/>
    </font>
    <font>
      <sz val="7"/>
      <name val="Arial Cyr"/>
      <family val="2"/>
      <charset val="204"/>
    </font>
    <font>
      <b/>
      <sz val="10"/>
      <name val="Arial"/>
      <family val="2"/>
      <charset val="204"/>
    </font>
    <font>
      <sz val="10"/>
      <color indexed="12"/>
      <name val="Arial Cyr"/>
      <charset val="204"/>
    </font>
    <font>
      <b/>
      <sz val="11"/>
      <color indexed="10"/>
      <name val="Arial Cyr"/>
      <charset val="204"/>
    </font>
    <font>
      <sz val="8"/>
      <name val="Arial"/>
      <family val="2"/>
      <charset val="204"/>
    </font>
    <font>
      <b/>
      <i/>
      <sz val="12"/>
      <name val="Arial Cyr"/>
      <charset val="204"/>
    </font>
    <font>
      <b/>
      <sz val="14"/>
      <name val="Arial Cyr"/>
      <charset val="204"/>
    </font>
    <font>
      <b/>
      <sz val="8"/>
      <name val="Arial Cyr"/>
      <charset val="204"/>
    </font>
    <font>
      <b/>
      <sz val="11"/>
      <name val="Arial Cyr"/>
      <charset val="204"/>
    </font>
    <font>
      <b/>
      <i/>
      <sz val="12"/>
      <color indexed="12"/>
      <name val="Arial Cyr"/>
      <charset val="204"/>
    </font>
    <font>
      <sz val="15"/>
      <name val="Times New Roman"/>
      <family val="1"/>
      <charset val="204"/>
    </font>
    <font>
      <b/>
      <sz val="15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rgb="FFFFFF3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0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4">
    <xf numFmtId="0" fontId="0" fillId="0" borderId="0"/>
    <xf numFmtId="0" fontId="2" fillId="0" borderId="0"/>
    <xf numFmtId="0" fontId="23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3" fillId="0" borderId="0"/>
    <xf numFmtId="0" fontId="40" fillId="0" borderId="0"/>
    <xf numFmtId="0" fontId="23" fillId="0" borderId="0"/>
  </cellStyleXfs>
  <cellXfs count="25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0" fillId="0" borderId="11" xfId="0" applyBorder="1"/>
    <xf numFmtId="14" fontId="0" fillId="0" borderId="0" xfId="0" applyNumberFormat="1" applyBorder="1"/>
    <xf numFmtId="0" fontId="0" fillId="0" borderId="12" xfId="0" applyBorder="1"/>
    <xf numFmtId="0" fontId="3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4" xfId="0" applyBorder="1" applyAlignment="1">
      <alignment textRotation="90"/>
    </xf>
    <xf numFmtId="0" fontId="0" fillId="0" borderId="16" xfId="0" applyBorder="1" applyAlignment="1">
      <alignment horizontal="center"/>
    </xf>
    <xf numFmtId="1" fontId="0" fillId="0" borderId="17" xfId="0" applyNumberFormat="1" applyBorder="1"/>
    <xf numFmtId="2" fontId="0" fillId="0" borderId="17" xfId="0" applyNumberFormat="1" applyBorder="1"/>
    <xf numFmtId="1" fontId="0" fillId="0" borderId="18" xfId="0" applyNumberFormat="1" applyBorder="1"/>
    <xf numFmtId="166" fontId="0" fillId="0" borderId="17" xfId="0" applyNumberFormat="1" applyBorder="1"/>
    <xf numFmtId="166" fontId="0" fillId="0" borderId="18" xfId="0" applyNumberFormat="1" applyBorder="1"/>
    <xf numFmtId="0" fontId="3" fillId="0" borderId="11" xfId="0" applyFont="1" applyBorder="1"/>
    <xf numFmtId="0" fontId="0" fillId="0" borderId="19" xfId="0" applyBorder="1"/>
    <xf numFmtId="0" fontId="4" fillId="0" borderId="1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6" xfId="0" applyBorder="1" applyAlignment="1">
      <alignment textRotation="90"/>
    </xf>
    <xf numFmtId="0" fontId="0" fillId="0" borderId="5" xfId="0" applyNumberFormat="1" applyBorder="1"/>
    <xf numFmtId="165" fontId="0" fillId="0" borderId="5" xfId="0" applyNumberFormat="1" applyBorder="1"/>
    <xf numFmtId="0" fontId="0" fillId="0" borderId="2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7" xfId="0" applyBorder="1"/>
    <xf numFmtId="0" fontId="3" fillId="0" borderId="28" xfId="0" applyFont="1" applyBorder="1"/>
    <xf numFmtId="0" fontId="3" fillId="0" borderId="29" xfId="0" applyFont="1" applyBorder="1"/>
    <xf numFmtId="1" fontId="0" fillId="0" borderId="24" xfId="0" applyNumberFormat="1" applyBorder="1"/>
    <xf numFmtId="2" fontId="0" fillId="0" borderId="24" xfId="0" applyNumberFormat="1" applyBorder="1"/>
    <xf numFmtId="1" fontId="0" fillId="0" borderId="25" xfId="0" applyNumberFormat="1" applyBorder="1"/>
    <xf numFmtId="0" fontId="4" fillId="0" borderId="13" xfId="0" applyFont="1" applyBorder="1"/>
    <xf numFmtId="0" fontId="3" fillId="0" borderId="13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26" xfId="0" applyFont="1" applyBorder="1"/>
    <xf numFmtId="0" fontId="3" fillId="0" borderId="9" xfId="0" applyFont="1" applyBorder="1" applyAlignment="1"/>
    <xf numFmtId="0" fontId="4" fillId="0" borderId="9" xfId="0" applyFont="1" applyBorder="1" applyAlignment="1"/>
    <xf numFmtId="0" fontId="0" fillId="0" borderId="30" xfId="0" applyBorder="1"/>
    <xf numFmtId="0" fontId="0" fillId="0" borderId="31" xfId="0" applyBorder="1"/>
    <xf numFmtId="0" fontId="3" fillId="0" borderId="32" xfId="0" applyFont="1" applyBorder="1"/>
    <xf numFmtId="0" fontId="3" fillId="0" borderId="33" xfId="0" applyFont="1" applyBorder="1"/>
    <xf numFmtId="0" fontId="2" fillId="0" borderId="31" xfId="0" applyFont="1" applyBorder="1"/>
    <xf numFmtId="0" fontId="3" fillId="0" borderId="14" xfId="0" applyFont="1" applyBorder="1" applyAlignment="1">
      <alignment horizontal="left"/>
    </xf>
    <xf numFmtId="0" fontId="5" fillId="0" borderId="7" xfId="0" applyFont="1" applyBorder="1"/>
    <xf numFmtId="0" fontId="5" fillId="0" borderId="4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0" xfId="0" applyFont="1" applyBorder="1"/>
    <xf numFmtId="1" fontId="3" fillId="0" borderId="2" xfId="0" applyNumberFormat="1" applyFont="1" applyBorder="1" applyAlignment="1"/>
    <xf numFmtId="0" fontId="3" fillId="0" borderId="2" xfId="0" applyFont="1" applyBorder="1" applyAlignment="1"/>
    <xf numFmtId="0" fontId="0" fillId="0" borderId="32" xfId="0" applyBorder="1"/>
    <xf numFmtId="0" fontId="3" fillId="0" borderId="34" xfId="0" applyFont="1" applyBorder="1"/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35" xfId="0" applyFont="1" applyBorder="1" applyAlignment="1">
      <alignment horizontal="centerContinuous"/>
    </xf>
    <xf numFmtId="0" fontId="0" fillId="0" borderId="36" xfId="0" applyBorder="1"/>
    <xf numFmtId="0" fontId="8" fillId="0" borderId="0" xfId="0" applyFont="1" applyBorder="1"/>
    <xf numFmtId="0" fontId="9" fillId="0" borderId="0" xfId="0" applyFont="1" applyBorder="1"/>
    <xf numFmtId="0" fontId="11" fillId="0" borderId="0" xfId="0" applyFont="1"/>
    <xf numFmtId="0" fontId="4" fillId="0" borderId="0" xfId="0" applyFont="1"/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1" fontId="0" fillId="0" borderId="33" xfId="0" applyNumberFormat="1" applyBorder="1"/>
    <xf numFmtId="1" fontId="0" fillId="0" borderId="27" xfId="0" applyNumberFormat="1" applyBorder="1"/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1" xfId="0" applyFont="1" applyBorder="1"/>
    <xf numFmtId="0" fontId="6" fillId="0" borderId="43" xfId="0" applyFont="1" applyBorder="1"/>
    <xf numFmtId="0" fontId="6" fillId="0" borderId="19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5" fillId="0" borderId="26" xfId="0" applyFont="1" applyBorder="1"/>
    <xf numFmtId="0" fontId="5" fillId="0" borderId="44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15" xfId="0" applyFont="1" applyBorder="1"/>
    <xf numFmtId="0" fontId="5" fillId="0" borderId="47" xfId="0" applyFont="1" applyBorder="1"/>
    <xf numFmtId="2" fontId="0" fillId="0" borderId="48" xfId="0" applyNumberFormat="1" applyBorder="1"/>
    <xf numFmtId="0" fontId="3" fillId="0" borderId="14" xfId="0" applyFont="1" applyBorder="1"/>
    <xf numFmtId="2" fontId="0" fillId="0" borderId="18" xfId="0" applyNumberFormat="1" applyBorder="1"/>
    <xf numFmtId="165" fontId="0" fillId="0" borderId="30" xfId="0" applyNumberFormat="1" applyBorder="1"/>
    <xf numFmtId="165" fontId="0" fillId="0" borderId="0" xfId="0" applyNumberFormat="1"/>
    <xf numFmtId="165" fontId="0" fillId="0" borderId="20" xfId="0" applyNumberFormat="1" applyBorder="1"/>
    <xf numFmtId="165" fontId="0" fillId="0" borderId="33" xfId="0" applyNumberFormat="1" applyBorder="1"/>
    <xf numFmtId="165" fontId="0" fillId="0" borderId="21" xfId="0" applyNumberFormat="1" applyBorder="1"/>
    <xf numFmtId="165" fontId="0" fillId="0" borderId="27" xfId="0" applyNumberFormat="1" applyBorder="1"/>
    <xf numFmtId="0" fontId="0" fillId="0" borderId="34" xfId="0" applyBorder="1" applyAlignment="1">
      <alignment horizontal="center"/>
    </xf>
    <xf numFmtId="0" fontId="5" fillId="0" borderId="19" xfId="0" applyFont="1" applyBorder="1"/>
    <xf numFmtId="0" fontId="6" fillId="0" borderId="10" xfId="0" applyFont="1" applyBorder="1" applyAlignment="1">
      <alignment horizontal="center"/>
    </xf>
    <xf numFmtId="2" fontId="5" fillId="0" borderId="6" xfId="0" applyNumberFormat="1" applyFont="1" applyBorder="1" applyAlignment="1">
      <alignment horizontal="right"/>
    </xf>
    <xf numFmtId="2" fontId="7" fillId="0" borderId="7" xfId="0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0" xfId="0" applyBorder="1" applyAlignment="1">
      <alignment horizontal="center"/>
    </xf>
    <xf numFmtId="2" fontId="0" fillId="0" borderId="0" xfId="0" applyNumberFormat="1" applyBorder="1"/>
    <xf numFmtId="167" fontId="12" fillId="0" borderId="6" xfId="0" applyNumberFormat="1" applyFont="1" applyBorder="1" applyAlignment="1">
      <alignment horizontal="right"/>
    </xf>
    <xf numFmtId="49" fontId="12" fillId="0" borderId="7" xfId="0" applyNumberFormat="1" applyFont="1" applyBorder="1" applyAlignment="1">
      <alignment horizontal="center"/>
    </xf>
    <xf numFmtId="167" fontId="12" fillId="0" borderId="8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12" fillId="0" borderId="0" xfId="0" applyFont="1" applyBorder="1" applyAlignment="1">
      <alignment horizontal="centerContinuous"/>
    </xf>
    <xf numFmtId="0" fontId="12" fillId="0" borderId="5" xfId="0" applyFont="1" applyBorder="1" applyAlignment="1">
      <alignment horizontal="left"/>
    </xf>
    <xf numFmtId="0" fontId="12" fillId="0" borderId="0" xfId="0" applyFont="1"/>
    <xf numFmtId="167" fontId="12" fillId="0" borderId="0" xfId="0" applyNumberFormat="1" applyFont="1" applyBorder="1" applyAlignment="1">
      <alignment horizontal="right"/>
    </xf>
    <xf numFmtId="1" fontId="12" fillId="0" borderId="0" xfId="0" applyNumberFormat="1" applyFont="1" applyBorder="1" applyAlignment="1"/>
    <xf numFmtId="167" fontId="12" fillId="0" borderId="5" xfId="0" applyNumberFormat="1" applyFont="1" applyBorder="1" applyAlignment="1">
      <alignment horizontal="left"/>
    </xf>
    <xf numFmtId="0" fontId="12" fillId="0" borderId="0" xfId="0" applyFont="1" applyBorder="1" applyAlignment="1"/>
    <xf numFmtId="0" fontId="0" fillId="0" borderId="49" xfId="0" applyBorder="1"/>
    <xf numFmtId="1" fontId="0" fillId="0" borderId="1" xfId="0" applyNumberFormat="1" applyBorder="1"/>
    <xf numFmtId="0" fontId="0" fillId="0" borderId="13" xfId="0" applyBorder="1" applyProtection="1">
      <protection locked="0"/>
    </xf>
    <xf numFmtId="2" fontId="0" fillId="0" borderId="0" xfId="0" applyNumberFormat="1" applyBorder="1" applyProtection="1">
      <protection locked="0"/>
    </xf>
    <xf numFmtId="0" fontId="0" fillId="0" borderId="50" xfId="0" applyBorder="1"/>
    <xf numFmtId="165" fontId="0" fillId="0" borderId="0" xfId="0" applyNumberFormat="1" applyBorder="1" applyProtection="1">
      <protection locked="0"/>
    </xf>
    <xf numFmtId="1" fontId="0" fillId="0" borderId="4" xfId="0" applyNumberFormat="1" applyBorder="1"/>
    <xf numFmtId="2" fontId="0" fillId="0" borderId="5" xfId="0" applyNumberFormat="1" applyBorder="1"/>
    <xf numFmtId="1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1" fontId="0" fillId="0" borderId="2" xfId="0" applyNumberFormat="1" applyBorder="1" applyProtection="1">
      <protection locked="0"/>
    </xf>
    <xf numFmtId="165" fontId="0" fillId="0" borderId="8" xfId="0" applyNumberFormat="1" applyBorder="1"/>
    <xf numFmtId="165" fontId="0" fillId="0" borderId="4" xfId="0" applyNumberFormat="1" applyBorder="1"/>
    <xf numFmtId="165" fontId="0" fillId="0" borderId="6" xfId="0" applyNumberFormat="1" applyBorder="1"/>
    <xf numFmtId="0" fontId="0" fillId="0" borderId="35" xfId="0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167" fontId="12" fillId="0" borderId="1" xfId="0" applyNumberFormat="1" applyFont="1" applyBorder="1" applyAlignment="1">
      <alignment horizontal="right"/>
    </xf>
    <xf numFmtId="49" fontId="12" fillId="0" borderId="2" xfId="0" applyNumberFormat="1" applyFont="1" applyBorder="1" applyAlignment="1">
      <alignment horizontal="center"/>
    </xf>
    <xf numFmtId="167" fontId="12" fillId="0" borderId="3" xfId="0" applyNumberFormat="1" applyFont="1" applyBorder="1" applyAlignment="1">
      <alignment horizontal="left"/>
    </xf>
    <xf numFmtId="167" fontId="13" fillId="0" borderId="1" xfId="0" applyNumberFormat="1" applyFont="1" applyBorder="1" applyAlignment="1">
      <alignment horizontal="right"/>
    </xf>
    <xf numFmtId="49" fontId="13" fillId="0" borderId="2" xfId="0" applyNumberFormat="1" applyFont="1" applyBorder="1" applyAlignment="1">
      <alignment horizontal="center"/>
    </xf>
    <xf numFmtId="167" fontId="13" fillId="0" borderId="3" xfId="0" applyNumberFormat="1" applyFont="1" applyBorder="1" applyAlignment="1">
      <alignment horizontal="left"/>
    </xf>
    <xf numFmtId="167" fontId="13" fillId="0" borderId="14" xfId="0" applyNumberFormat="1" applyFont="1" applyBorder="1" applyAlignment="1">
      <alignment horizontal="right"/>
    </xf>
    <xf numFmtId="49" fontId="13" fillId="0" borderId="13" xfId="0" applyNumberFormat="1" applyFont="1" applyBorder="1" applyAlignment="1">
      <alignment horizontal="center"/>
    </xf>
    <xf numFmtId="167" fontId="13" fillId="0" borderId="15" xfId="0" applyNumberFormat="1" applyFont="1" applyBorder="1" applyAlignment="1">
      <alignment horizontal="left"/>
    </xf>
    <xf numFmtId="2" fontId="0" fillId="0" borderId="15" xfId="0" applyNumberFormat="1" applyBorder="1" applyAlignment="1">
      <alignment horizontal="left"/>
    </xf>
    <xf numFmtId="2" fontId="0" fillId="0" borderId="43" xfId="0" applyNumberFormat="1" applyBorder="1"/>
    <xf numFmtId="0" fontId="0" fillId="0" borderId="17" xfId="0" applyBorder="1"/>
    <xf numFmtId="0" fontId="0" fillId="0" borderId="7" xfId="0" applyBorder="1" applyProtection="1">
      <protection locked="0"/>
    </xf>
    <xf numFmtId="2" fontId="0" fillId="0" borderId="2" xfId="0" applyNumberFormat="1" applyBorder="1"/>
    <xf numFmtId="2" fontId="0" fillId="0" borderId="3" xfId="0" applyNumberFormat="1" applyBorder="1"/>
    <xf numFmtId="1" fontId="5" fillId="0" borderId="2" xfId="0" applyNumberFormat="1" applyFont="1" applyBorder="1"/>
    <xf numFmtId="0" fontId="5" fillId="0" borderId="3" xfId="0" applyFont="1" applyBorder="1"/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0" fillId="0" borderId="47" xfId="0" applyBorder="1"/>
    <xf numFmtId="0" fontId="5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33" xfId="0" applyBorder="1" applyAlignment="1">
      <alignment horizontal="left"/>
    </xf>
    <xf numFmtId="167" fontId="12" fillId="0" borderId="2" xfId="0" applyNumberFormat="1" applyFont="1" applyBorder="1" applyAlignment="1">
      <alignment horizontal="right"/>
    </xf>
    <xf numFmtId="1" fontId="0" fillId="0" borderId="24" xfId="0" applyNumberFormat="1" applyBorder="1" applyProtection="1">
      <protection locked="0"/>
    </xf>
    <xf numFmtId="1" fontId="0" fillId="0" borderId="17" xfId="0" applyNumberFormat="1" applyBorder="1" applyProtection="1">
      <protection locked="0"/>
    </xf>
    <xf numFmtId="2" fontId="0" fillId="0" borderId="53" xfId="0" applyNumberFormat="1" applyBorder="1"/>
    <xf numFmtId="1" fontId="0" fillId="0" borderId="54" xfId="0" applyNumberFormat="1" applyBorder="1"/>
    <xf numFmtId="2" fontId="0" fillId="0" borderId="54" xfId="0" applyNumberFormat="1" applyBorder="1"/>
    <xf numFmtId="1" fontId="0" fillId="0" borderId="55" xfId="0" applyNumberFormat="1" applyBorder="1"/>
    <xf numFmtId="1" fontId="0" fillId="0" borderId="54" xfId="0" applyNumberFormat="1" applyBorder="1" applyProtection="1">
      <protection locked="0"/>
    </xf>
    <xf numFmtId="0" fontId="5" fillId="0" borderId="20" xfId="0" applyFont="1" applyBorder="1"/>
    <xf numFmtId="1" fontId="5" fillId="0" borderId="13" xfId="0" applyNumberFormat="1" applyFont="1" applyBorder="1" applyProtection="1">
      <protection locked="0"/>
    </xf>
    <xf numFmtId="0" fontId="5" fillId="0" borderId="15" xfId="0" applyFont="1" applyBorder="1" applyProtection="1">
      <protection locked="0"/>
    </xf>
    <xf numFmtId="0" fontId="5" fillId="0" borderId="47" xfId="0" applyFont="1" applyBorder="1" applyProtection="1">
      <protection locked="0"/>
    </xf>
    <xf numFmtId="0" fontId="0" fillId="0" borderId="27" xfId="0" applyBorder="1" applyAlignment="1">
      <alignment horizontal="left"/>
    </xf>
    <xf numFmtId="2" fontId="0" fillId="0" borderId="25" xfId="0" applyNumberFormat="1" applyBorder="1"/>
    <xf numFmtId="2" fontId="0" fillId="0" borderId="55" xfId="0" applyNumberFormat="1" applyBorder="1"/>
    <xf numFmtId="2" fontId="3" fillId="0" borderId="2" xfId="0" applyNumberFormat="1" applyFont="1" applyBorder="1" applyAlignment="1">
      <alignment horizontal="centerContinuous"/>
    </xf>
    <xf numFmtId="2" fontId="0" fillId="0" borderId="56" xfId="0" applyNumberFormat="1" applyBorder="1"/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centerContinuous"/>
    </xf>
    <xf numFmtId="2" fontId="3" fillId="0" borderId="7" xfId="0" applyNumberFormat="1" applyFont="1" applyBorder="1" applyAlignment="1">
      <alignment horizontal="left"/>
    </xf>
    <xf numFmtId="2" fontId="3" fillId="0" borderId="7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167" fontId="3" fillId="0" borderId="5" xfId="0" applyNumberFormat="1" applyFont="1" applyBorder="1" applyAlignment="1">
      <alignment horizontal="left"/>
    </xf>
    <xf numFmtId="2" fontId="0" fillId="0" borderId="13" xfId="0" applyNumberForma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" fontId="0" fillId="0" borderId="0" xfId="0" applyNumberFormat="1" applyBorder="1"/>
    <xf numFmtId="0" fontId="0" fillId="0" borderId="33" xfId="0" applyBorder="1"/>
    <xf numFmtId="0" fontId="0" fillId="0" borderId="34" xfId="0" applyBorder="1"/>
    <xf numFmtId="1" fontId="0" fillId="0" borderId="13" xfId="0" applyNumberFormat="1" applyBorder="1"/>
    <xf numFmtId="2" fontId="0" fillId="0" borderId="13" xfId="0" applyNumberFormat="1" applyBorder="1" applyProtection="1">
      <protection locked="0"/>
    </xf>
    <xf numFmtId="2" fontId="0" fillId="0" borderId="15" xfId="0" applyNumberFormat="1" applyBorder="1"/>
    <xf numFmtId="1" fontId="0" fillId="0" borderId="14" xfId="0" applyNumberFormat="1" applyBorder="1"/>
    <xf numFmtId="165" fontId="0" fillId="0" borderId="0" xfId="0" applyNumberFormat="1" applyBorder="1"/>
    <xf numFmtId="0" fontId="3" fillId="0" borderId="15" xfId="0" applyFont="1" applyBorder="1" applyAlignment="1">
      <alignment horizontal="left"/>
    </xf>
    <xf numFmtId="0" fontId="10" fillId="0" borderId="7" xfId="0" applyFont="1" applyBorder="1"/>
    <xf numFmtId="165" fontId="0" fillId="0" borderId="7" xfId="0" applyNumberFormat="1" applyBorder="1"/>
    <xf numFmtId="1" fontId="0" fillId="0" borderId="2" xfId="0" applyNumberFormat="1" applyBorder="1"/>
    <xf numFmtId="2" fontId="0" fillId="0" borderId="2" xfId="0" applyNumberFormat="1" applyBorder="1" applyProtection="1">
      <protection locked="0"/>
    </xf>
    <xf numFmtId="1" fontId="0" fillId="0" borderId="0" xfId="0" applyNumberFormat="1" applyBorder="1" applyProtection="1">
      <protection locked="0"/>
    </xf>
    <xf numFmtId="0" fontId="14" fillId="0" borderId="0" xfId="0" applyFont="1"/>
    <xf numFmtId="0" fontId="8" fillId="0" borderId="0" xfId="0" applyFont="1"/>
    <xf numFmtId="0" fontId="15" fillId="0" borderId="0" xfId="0" applyFont="1"/>
    <xf numFmtId="0" fontId="17" fillId="0" borderId="0" xfId="7" applyFont="1" applyFill="1"/>
    <xf numFmtId="0" fontId="17" fillId="0" borderId="0" xfId="7" applyFont="1" applyFill="1" applyBorder="1"/>
    <xf numFmtId="0" fontId="17" fillId="0" borderId="0" xfId="8" applyFont="1" applyFill="1" applyBorder="1"/>
    <xf numFmtId="0" fontId="18" fillId="0" borderId="0" xfId="7" applyFont="1" applyFill="1" applyBorder="1"/>
    <xf numFmtId="0" fontId="19" fillId="0" borderId="0" xfId="7" applyFont="1" applyFill="1" applyBorder="1" applyAlignment="1"/>
    <xf numFmtId="0" fontId="17" fillId="0" borderId="0" xfId="7" applyFont="1" applyFill="1" applyBorder="1" applyAlignment="1">
      <alignment horizontal="left"/>
    </xf>
    <xf numFmtId="0" fontId="20" fillId="0" borderId="0" xfId="7" applyFont="1" applyFill="1" applyAlignment="1">
      <alignment horizontal="right"/>
    </xf>
    <xf numFmtId="0" fontId="21" fillId="0" borderId="0" xfId="7" applyFont="1" applyFill="1" applyBorder="1"/>
    <xf numFmtId="0" fontId="17" fillId="0" borderId="0" xfId="5" applyFont="1" applyFill="1" applyBorder="1"/>
    <xf numFmtId="0" fontId="17" fillId="0" borderId="0" xfId="5" applyFont="1" applyFill="1"/>
    <xf numFmtId="0" fontId="19" fillId="0" borderId="23" xfId="5" applyFont="1" applyFill="1" applyBorder="1" applyAlignment="1">
      <alignment horizontal="center"/>
    </xf>
    <xf numFmtId="0" fontId="19" fillId="0" borderId="24" xfId="5" applyFont="1" applyFill="1" applyBorder="1" applyAlignment="1">
      <alignment horizontal="center"/>
    </xf>
    <xf numFmtId="0" fontId="19" fillId="0" borderId="25" xfId="5" applyFont="1" applyFill="1" applyBorder="1" applyAlignment="1">
      <alignment horizontal="center"/>
    </xf>
    <xf numFmtId="0" fontId="17" fillId="0" borderId="22" xfId="5" applyFont="1" applyFill="1" applyBorder="1" applyAlignment="1">
      <alignment horizontal="center"/>
    </xf>
    <xf numFmtId="0" fontId="17" fillId="0" borderId="51" xfId="5" applyFont="1" applyFill="1" applyBorder="1" applyAlignment="1">
      <alignment horizontal="center"/>
    </xf>
    <xf numFmtId="0" fontId="17" fillId="0" borderId="52" xfId="5" applyFont="1" applyFill="1" applyBorder="1" applyAlignment="1">
      <alignment horizontal="center"/>
    </xf>
    <xf numFmtId="164" fontId="17" fillId="0" borderId="23" xfId="10" applyFont="1" applyFill="1" applyBorder="1" applyAlignment="1">
      <alignment horizontal="center"/>
    </xf>
    <xf numFmtId="164" fontId="17" fillId="0" borderId="24" xfId="10" applyFont="1" applyFill="1" applyBorder="1" applyAlignment="1">
      <alignment horizontal="center"/>
    </xf>
    <xf numFmtId="164" fontId="17" fillId="0" borderId="25" xfId="10" applyFont="1" applyFill="1" applyBorder="1" applyAlignment="1">
      <alignment horizontal="center"/>
    </xf>
    <xf numFmtId="2" fontId="17" fillId="0" borderId="0" xfId="7" applyNumberFormat="1" applyFont="1" applyFill="1"/>
    <xf numFmtId="1" fontId="17" fillId="0" borderId="22" xfId="7" applyNumberFormat="1" applyFont="1" applyFill="1" applyBorder="1" applyAlignment="1">
      <alignment horizontal="center"/>
    </xf>
    <xf numFmtId="167" fontId="17" fillId="0" borderId="51" xfId="2" applyNumberFormat="1" applyFont="1" applyFill="1" applyBorder="1" applyAlignment="1" applyProtection="1">
      <alignment horizontal="center"/>
      <protection locked="0"/>
    </xf>
    <xf numFmtId="167" fontId="17" fillId="0" borderId="52" xfId="2" applyNumberFormat="1" applyFont="1" applyFill="1" applyBorder="1" applyAlignment="1">
      <alignment horizontal="center"/>
    </xf>
    <xf numFmtId="0" fontId="17" fillId="0" borderId="14" xfId="7" applyFont="1" applyFill="1" applyBorder="1" applyAlignment="1">
      <alignment horizontal="left"/>
    </xf>
    <xf numFmtId="0" fontId="17" fillId="0" borderId="1" xfId="7" applyFont="1" applyFill="1" applyBorder="1" applyAlignment="1">
      <alignment horizontal="left"/>
    </xf>
    <xf numFmtId="164" fontId="17" fillId="0" borderId="2" xfId="10" applyFont="1" applyFill="1" applyBorder="1" applyAlignment="1">
      <alignment horizontal="left"/>
    </xf>
    <xf numFmtId="2" fontId="17" fillId="0" borderId="3" xfId="7" applyNumberFormat="1" applyFont="1" applyFill="1" applyBorder="1" applyAlignment="1">
      <alignment horizontal="left"/>
    </xf>
    <xf numFmtId="0" fontId="17" fillId="0" borderId="5" xfId="7" applyFont="1" applyFill="1" applyBorder="1"/>
    <xf numFmtId="0" fontId="17" fillId="0" borderId="6" xfId="7" applyFont="1" applyFill="1" applyBorder="1" applyAlignment="1">
      <alignment horizontal="left"/>
    </xf>
    <xf numFmtId="2" fontId="17" fillId="0" borderId="7" xfId="7" applyNumberFormat="1" applyFont="1" applyFill="1" applyBorder="1" applyAlignment="1">
      <alignment horizontal="left"/>
    </xf>
    <xf numFmtId="2" fontId="17" fillId="0" borderId="8" xfId="7" applyNumberFormat="1" applyFont="1" applyFill="1" applyBorder="1" applyAlignment="1">
      <alignment horizontal="left"/>
    </xf>
    <xf numFmtId="0" fontId="17" fillId="0" borderId="7" xfId="7" applyFont="1" applyFill="1" applyBorder="1" applyAlignment="1">
      <alignment horizontal="left"/>
    </xf>
    <xf numFmtId="0" fontId="17" fillId="0" borderId="8" xfId="7" applyFont="1" applyFill="1" applyBorder="1"/>
    <xf numFmtId="0" fontId="17" fillId="0" borderId="7" xfId="7" applyFont="1" applyFill="1" applyBorder="1"/>
    <xf numFmtId="0" fontId="19" fillId="0" borderId="0" xfId="7" applyFont="1" applyFill="1" applyBorder="1"/>
    <xf numFmtId="0" fontId="19" fillId="0" borderId="0" xfId="7" applyFont="1" applyFill="1" applyBorder="1" applyAlignment="1">
      <alignment horizontal="center"/>
    </xf>
    <xf numFmtId="2" fontId="17" fillId="0" borderId="0" xfId="7" applyNumberFormat="1" applyFont="1" applyFill="1" applyBorder="1"/>
    <xf numFmtId="1" fontId="17" fillId="0" borderId="0" xfId="7" applyNumberFormat="1" applyFont="1" applyFill="1" applyBorder="1"/>
    <xf numFmtId="1" fontId="17" fillId="0" borderId="0" xfId="7" applyNumberFormat="1" applyFont="1" applyFill="1" applyBorder="1" applyProtection="1">
      <protection locked="0"/>
    </xf>
    <xf numFmtId="2" fontId="17" fillId="0" borderId="0" xfId="7" applyNumberFormat="1" applyFont="1" applyFill="1" applyBorder="1" applyProtection="1">
      <protection locked="0"/>
    </xf>
    <xf numFmtId="2" fontId="19" fillId="0" borderId="22" xfId="7" applyNumberFormat="1" applyFont="1" applyFill="1" applyBorder="1"/>
    <xf numFmtId="1" fontId="19" fillId="0" borderId="51" xfId="7" applyNumberFormat="1" applyFont="1" applyFill="1" applyBorder="1"/>
    <xf numFmtId="2" fontId="19" fillId="0" borderId="51" xfId="7" applyNumberFormat="1" applyFont="1" applyFill="1" applyBorder="1"/>
    <xf numFmtId="1" fontId="19" fillId="0" borderId="52" xfId="7" applyNumberFormat="1" applyFont="1" applyFill="1" applyBorder="1"/>
    <xf numFmtId="0" fontId="17" fillId="0" borderId="23" xfId="7" applyFont="1" applyFill="1" applyBorder="1" applyAlignment="1">
      <alignment horizontal="left"/>
    </xf>
    <xf numFmtId="49" fontId="17" fillId="0" borderId="57" xfId="4" applyNumberFormat="1" applyFont="1" applyFill="1" applyBorder="1" applyAlignment="1"/>
    <xf numFmtId="49" fontId="17" fillId="0" borderId="19" xfId="4" applyNumberFormat="1" applyFont="1" applyFill="1" applyBorder="1" applyAlignment="1"/>
    <xf numFmtId="165" fontId="17" fillId="0" borderId="58" xfId="7" applyNumberFormat="1" applyFont="1" applyFill="1" applyBorder="1"/>
    <xf numFmtId="1" fontId="17" fillId="0" borderId="54" xfId="7" applyNumberFormat="1" applyFont="1" applyFill="1" applyBorder="1"/>
    <xf numFmtId="165" fontId="17" fillId="0" borderId="54" xfId="7" applyNumberFormat="1" applyFont="1" applyFill="1" applyBorder="1"/>
    <xf numFmtId="165" fontId="17" fillId="0" borderId="59" xfId="7" applyNumberFormat="1" applyFont="1" applyFill="1" applyBorder="1"/>
    <xf numFmtId="1" fontId="17" fillId="0" borderId="23" xfId="7" applyNumberFormat="1" applyFont="1" applyFill="1" applyBorder="1" applyAlignment="1">
      <alignment horizontal="center" vertical="center"/>
    </xf>
    <xf numFmtId="167" fontId="17" fillId="0" borderId="24" xfId="7" applyNumberFormat="1" applyFont="1" applyFill="1" applyBorder="1" applyAlignment="1">
      <alignment horizontal="center" vertical="center"/>
    </xf>
    <xf numFmtId="167" fontId="17" fillId="0" borderId="25" xfId="7" applyNumberFormat="1" applyFont="1" applyFill="1" applyBorder="1" applyAlignment="1">
      <alignment horizontal="center" vertical="center"/>
    </xf>
    <xf numFmtId="167" fontId="17" fillId="0" borderId="0" xfId="7" applyNumberFormat="1" applyFont="1" applyFill="1"/>
    <xf numFmtId="0" fontId="17" fillId="0" borderId="12" xfId="7" applyFont="1" applyFill="1" applyBorder="1" applyAlignment="1">
      <alignment horizontal="left"/>
    </xf>
    <xf numFmtId="0" fontId="17" fillId="0" borderId="60" xfId="4" applyFont="1" applyFill="1" applyBorder="1" applyAlignment="1"/>
    <xf numFmtId="0" fontId="17" fillId="0" borderId="20" xfId="4" applyFont="1" applyFill="1" applyBorder="1" applyAlignment="1"/>
    <xf numFmtId="165" fontId="17" fillId="0" borderId="12" xfId="7" applyNumberFormat="1" applyFont="1" applyFill="1" applyBorder="1"/>
    <xf numFmtId="1" fontId="17" fillId="0" borderId="17" xfId="7" applyNumberFormat="1" applyFont="1" applyFill="1" applyBorder="1"/>
    <xf numFmtId="165" fontId="17" fillId="0" borderId="17" xfId="7" applyNumberFormat="1" applyFont="1" applyFill="1" applyBorder="1"/>
    <xf numFmtId="165" fontId="17" fillId="0" borderId="60" xfId="7" applyNumberFormat="1" applyFont="1" applyFill="1" applyBorder="1"/>
    <xf numFmtId="1" fontId="17" fillId="0" borderId="12" xfId="7" applyNumberFormat="1" applyFont="1" applyFill="1" applyBorder="1" applyAlignment="1">
      <alignment horizontal="center" vertical="center"/>
    </xf>
    <xf numFmtId="167" fontId="17" fillId="0" borderId="17" xfId="7" applyNumberFormat="1" applyFont="1" applyFill="1" applyBorder="1" applyAlignment="1">
      <alignment horizontal="center" vertical="center"/>
    </xf>
    <xf numFmtId="167" fontId="17" fillId="0" borderId="18" xfId="7" applyNumberFormat="1" applyFont="1" applyFill="1" applyBorder="1" applyAlignment="1">
      <alignment horizontal="center" vertical="center"/>
    </xf>
    <xf numFmtId="0" fontId="17" fillId="0" borderId="61" xfId="7" applyFont="1" applyFill="1" applyBorder="1" applyAlignment="1">
      <alignment horizontal="left"/>
    </xf>
    <xf numFmtId="0" fontId="17" fillId="0" borderId="62" xfId="4" applyFont="1" applyFill="1" applyBorder="1" applyAlignment="1"/>
    <xf numFmtId="0" fontId="17" fillId="0" borderId="63" xfId="4" applyFont="1" applyFill="1" applyBorder="1" applyAlignment="1"/>
    <xf numFmtId="165" fontId="17" fillId="0" borderId="61" xfId="7" applyNumberFormat="1" applyFont="1" applyFill="1" applyBorder="1"/>
    <xf numFmtId="1" fontId="17" fillId="0" borderId="28" xfId="7" applyNumberFormat="1" applyFont="1" applyFill="1" applyBorder="1"/>
    <xf numFmtId="165" fontId="17" fillId="0" borderId="28" xfId="7" applyNumberFormat="1" applyFont="1" applyFill="1" applyBorder="1"/>
    <xf numFmtId="165" fontId="17" fillId="0" borderId="62" xfId="7" applyNumberFormat="1" applyFont="1" applyFill="1" applyBorder="1"/>
    <xf numFmtId="1" fontId="17" fillId="0" borderId="22" xfId="7" applyNumberFormat="1" applyFont="1" applyFill="1" applyBorder="1" applyAlignment="1">
      <alignment horizontal="center" vertical="center"/>
    </xf>
    <xf numFmtId="167" fontId="17" fillId="0" borderId="51" xfId="7" applyNumberFormat="1" applyFont="1" applyFill="1" applyBorder="1" applyAlignment="1">
      <alignment horizontal="center" vertical="center"/>
    </xf>
    <xf numFmtId="167" fontId="17" fillId="0" borderId="52" xfId="7" applyNumberFormat="1" applyFont="1" applyFill="1" applyBorder="1" applyAlignment="1">
      <alignment horizontal="center" vertical="center"/>
    </xf>
    <xf numFmtId="0" fontId="17" fillId="0" borderId="40" xfId="7" applyFont="1" applyFill="1" applyBorder="1" applyAlignment="1">
      <alignment horizontal="left"/>
    </xf>
    <xf numFmtId="0" fontId="17" fillId="0" borderId="57" xfId="4" applyFont="1" applyFill="1" applyBorder="1" applyAlignment="1"/>
    <xf numFmtId="0" fontId="17" fillId="0" borderId="19" xfId="4" applyFont="1" applyFill="1" applyBorder="1" applyAlignment="1"/>
    <xf numFmtId="165" fontId="17" fillId="0" borderId="40" xfId="7" applyNumberFormat="1" applyFont="1" applyFill="1" applyBorder="1"/>
    <xf numFmtId="1" fontId="17" fillId="0" borderId="41" xfId="7" applyNumberFormat="1" applyFont="1" applyFill="1" applyBorder="1"/>
    <xf numFmtId="165" fontId="17" fillId="0" borderId="41" xfId="7" applyNumberFormat="1" applyFont="1" applyFill="1" applyBorder="1"/>
    <xf numFmtId="165" fontId="17" fillId="0" borderId="49" xfId="7" applyNumberFormat="1" applyFont="1" applyFill="1" applyBorder="1"/>
    <xf numFmtId="0" fontId="17" fillId="0" borderId="22" xfId="7" applyFont="1" applyFill="1" applyBorder="1" applyAlignment="1">
      <alignment horizontal="left"/>
    </xf>
    <xf numFmtId="0" fontId="17" fillId="0" borderId="64" xfId="4" applyFont="1" applyFill="1" applyBorder="1" applyAlignment="1"/>
    <xf numFmtId="0" fontId="17" fillId="0" borderId="21" xfId="4" applyFont="1" applyFill="1" applyBorder="1" applyAlignment="1"/>
    <xf numFmtId="2" fontId="17" fillId="0" borderId="22" xfId="7" applyNumberFormat="1" applyFont="1" applyFill="1" applyBorder="1"/>
    <xf numFmtId="1" fontId="17" fillId="0" borderId="51" xfId="7" applyNumberFormat="1" applyFont="1" applyFill="1" applyBorder="1"/>
    <xf numFmtId="2" fontId="17" fillId="0" borderId="51" xfId="7" applyNumberFormat="1" applyFont="1" applyFill="1" applyBorder="1"/>
    <xf numFmtId="1" fontId="17" fillId="0" borderId="64" xfId="7" applyNumberFormat="1" applyFont="1" applyFill="1" applyBorder="1"/>
    <xf numFmtId="1" fontId="17" fillId="0" borderId="58" xfId="7" applyNumberFormat="1" applyFont="1" applyFill="1" applyBorder="1" applyAlignment="1">
      <alignment horizontal="center" vertical="center"/>
    </xf>
    <xf numFmtId="167" fontId="17" fillId="0" borderId="38" xfId="7" applyNumberFormat="1" applyFont="1" applyFill="1" applyBorder="1" applyAlignment="1">
      <alignment horizontal="center" vertical="center"/>
    </xf>
    <xf numFmtId="167" fontId="17" fillId="0" borderId="39" xfId="7" applyNumberFormat="1" applyFont="1" applyFill="1" applyBorder="1" applyAlignment="1">
      <alignment horizontal="center" vertical="center"/>
    </xf>
    <xf numFmtId="166" fontId="17" fillId="0" borderId="0" xfId="7" applyNumberFormat="1" applyFont="1" applyFill="1"/>
    <xf numFmtId="1" fontId="17" fillId="0" borderId="37" xfId="7" applyNumberFormat="1" applyFont="1" applyFill="1" applyBorder="1" applyAlignment="1">
      <alignment horizontal="center" vertical="center"/>
    </xf>
    <xf numFmtId="0" fontId="17" fillId="0" borderId="0" xfId="9" applyFont="1" applyFill="1" applyBorder="1"/>
    <xf numFmtId="0" fontId="19" fillId="0" borderId="0" xfId="7" applyFont="1" applyFill="1" applyBorder="1" applyAlignment="1">
      <alignment horizontal="left"/>
    </xf>
    <xf numFmtId="0" fontId="19" fillId="0" borderId="0" xfId="7" applyFont="1" applyFill="1" applyBorder="1" applyAlignment="1">
      <alignment horizontal="centerContinuous"/>
    </xf>
    <xf numFmtId="2" fontId="17" fillId="0" borderId="0" xfId="7" applyNumberFormat="1" applyFont="1" applyFill="1" applyBorder="1" applyAlignment="1">
      <alignment horizontal="centerContinuous"/>
    </xf>
    <xf numFmtId="0" fontId="17" fillId="0" borderId="0" xfId="7" applyFont="1" applyFill="1" applyBorder="1" applyAlignment="1">
      <alignment horizontal="centerContinuous"/>
    </xf>
    <xf numFmtId="0" fontId="17" fillId="0" borderId="32" xfId="7" applyFont="1" applyFill="1" applyBorder="1"/>
    <xf numFmtId="0" fontId="17" fillId="0" borderId="31" xfId="7" applyFont="1" applyFill="1" applyBorder="1"/>
    <xf numFmtId="0" fontId="17" fillId="0" borderId="19" xfId="7" applyFont="1" applyFill="1" applyBorder="1"/>
    <xf numFmtId="167" fontId="17" fillId="0" borderId="65" xfId="7" applyNumberFormat="1" applyFont="1" applyFill="1" applyBorder="1" applyAlignment="1">
      <alignment horizontal="right"/>
    </xf>
    <xf numFmtId="49" fontId="17" fillId="0" borderId="66" xfId="7" applyNumberFormat="1" applyFont="1" applyFill="1" applyBorder="1" applyAlignment="1">
      <alignment horizontal="center"/>
    </xf>
    <xf numFmtId="167" fontId="17" fillId="0" borderId="67" xfId="7" applyNumberFormat="1" applyFont="1" applyFill="1" applyBorder="1" applyAlignment="1">
      <alignment horizontal="left"/>
    </xf>
    <xf numFmtId="0" fontId="17" fillId="0" borderId="33" xfId="7" applyFont="1" applyFill="1" applyBorder="1"/>
    <xf numFmtId="0" fontId="17" fillId="0" borderId="30" xfId="7" applyFont="1" applyFill="1" applyBorder="1"/>
    <xf numFmtId="0" fontId="17" fillId="0" borderId="20" xfId="7" applyFont="1" applyFill="1" applyBorder="1"/>
    <xf numFmtId="167" fontId="17" fillId="0" borderId="6" xfId="7" applyNumberFormat="1" applyFont="1" applyFill="1" applyBorder="1" applyAlignment="1">
      <alignment horizontal="right"/>
    </xf>
    <xf numFmtId="49" fontId="17" fillId="0" borderId="7" xfId="7" applyNumberFormat="1" applyFont="1" applyFill="1" applyBorder="1" applyAlignment="1">
      <alignment horizontal="center"/>
    </xf>
    <xf numFmtId="167" fontId="17" fillId="0" borderId="8" xfId="7" applyNumberFormat="1" applyFont="1" applyFill="1" applyBorder="1" applyAlignment="1">
      <alignment horizontal="left"/>
    </xf>
    <xf numFmtId="2" fontId="17" fillId="0" borderId="68" xfId="7" applyNumberFormat="1" applyFont="1" applyFill="1" applyBorder="1" applyAlignment="1">
      <alignment horizontal="right"/>
    </xf>
    <xf numFmtId="0" fontId="17" fillId="0" borderId="69" xfId="7" applyFont="1" applyFill="1" applyBorder="1" applyAlignment="1">
      <alignment horizontal="left"/>
    </xf>
    <xf numFmtId="0" fontId="17" fillId="0" borderId="69" xfId="7" applyFont="1" applyFill="1" applyBorder="1"/>
    <xf numFmtId="1" fontId="17" fillId="0" borderId="69" xfId="7" applyNumberFormat="1" applyFont="1" applyFill="1" applyBorder="1" applyAlignment="1">
      <alignment horizontal="left"/>
    </xf>
    <xf numFmtId="0" fontId="17" fillId="0" borderId="1" xfId="7" applyFont="1" applyFill="1" applyBorder="1"/>
    <xf numFmtId="0" fontId="17" fillId="0" borderId="2" xfId="7" applyFont="1" applyFill="1" applyBorder="1"/>
    <xf numFmtId="0" fontId="17" fillId="0" borderId="3" xfId="7" applyFont="1" applyFill="1" applyBorder="1" applyAlignment="1">
      <alignment horizontal="left"/>
    </xf>
    <xf numFmtId="2" fontId="17" fillId="0" borderId="7" xfId="7" applyNumberFormat="1" applyFont="1" applyFill="1" applyBorder="1" applyAlignment="1">
      <alignment horizontal="right"/>
    </xf>
    <xf numFmtId="1" fontId="17" fillId="0" borderId="7" xfId="7" applyNumberFormat="1" applyFont="1" applyFill="1" applyBorder="1" applyAlignment="1">
      <alignment horizontal="left"/>
    </xf>
    <xf numFmtId="0" fontId="17" fillId="0" borderId="6" xfId="7" applyFont="1" applyFill="1" applyBorder="1" applyAlignment="1">
      <alignment horizontal="right"/>
    </xf>
    <xf numFmtId="0" fontId="17" fillId="0" borderId="8" xfId="7" applyFont="1" applyFill="1" applyBorder="1" applyAlignment="1">
      <alignment horizontal="left"/>
    </xf>
    <xf numFmtId="2" fontId="19" fillId="0" borderId="1" xfId="7" applyNumberFormat="1" applyFont="1" applyFill="1" applyBorder="1" applyAlignment="1">
      <alignment horizontal="right"/>
    </xf>
    <xf numFmtId="49" fontId="19" fillId="0" borderId="2" xfId="7" applyNumberFormat="1" applyFont="1" applyFill="1" applyBorder="1" applyAlignment="1">
      <alignment horizontal="center"/>
    </xf>
    <xf numFmtId="2" fontId="19" fillId="0" borderId="3" xfId="7" applyNumberFormat="1" applyFont="1" applyFill="1" applyBorder="1" applyAlignment="1">
      <alignment horizontal="left"/>
    </xf>
    <xf numFmtId="0" fontId="17" fillId="0" borderId="11" xfId="7" applyFont="1" applyFill="1" applyBorder="1"/>
    <xf numFmtId="167" fontId="25" fillId="0" borderId="0" xfId="2" applyNumberFormat="1" applyFont="1" applyFill="1"/>
    <xf numFmtId="167" fontId="17" fillId="0" borderId="3" xfId="7" applyNumberFormat="1" applyFont="1" applyFill="1" applyBorder="1" applyAlignment="1">
      <alignment horizontal="left"/>
    </xf>
    <xf numFmtId="0" fontId="17" fillId="0" borderId="4" xfId="7" applyFont="1" applyFill="1" applyBorder="1" applyAlignment="1">
      <alignment horizontal="left"/>
    </xf>
    <xf numFmtId="0" fontId="17" fillId="0" borderId="0" xfId="7" applyFont="1" applyFill="1" applyBorder="1" applyAlignment="1">
      <alignment horizontal="center"/>
    </xf>
    <xf numFmtId="2" fontId="19" fillId="0" borderId="14" xfId="7" applyNumberFormat="1" applyFont="1" applyFill="1" applyBorder="1" applyAlignment="1">
      <alignment horizontal="right"/>
    </xf>
    <xf numFmtId="49" fontId="19" fillId="0" borderId="13" xfId="7" applyNumberFormat="1" applyFont="1" applyFill="1" applyBorder="1" applyAlignment="1">
      <alignment horizontal="center"/>
    </xf>
    <xf numFmtId="2" fontId="19" fillId="0" borderId="15" xfId="7" applyNumberFormat="1" applyFont="1" applyFill="1" applyBorder="1" applyAlignment="1">
      <alignment horizontal="left"/>
    </xf>
    <xf numFmtId="0" fontId="25" fillId="0" borderId="0" xfId="2" applyFont="1" applyFill="1"/>
    <xf numFmtId="2" fontId="25" fillId="0" borderId="0" xfId="2" applyNumberFormat="1" applyFont="1" applyFill="1"/>
    <xf numFmtId="0" fontId="17" fillId="0" borderId="1" xfId="7" applyFont="1" applyFill="1" applyBorder="1" applyAlignment="1">
      <alignment horizontal="right"/>
    </xf>
    <xf numFmtId="1" fontId="17" fillId="0" borderId="2" xfId="7" applyNumberFormat="1" applyFont="1" applyFill="1" applyBorder="1" applyAlignment="1"/>
    <xf numFmtId="0" fontId="19" fillId="0" borderId="6" xfId="7" applyFont="1" applyFill="1" applyBorder="1"/>
    <xf numFmtId="0" fontId="19" fillId="0" borderId="7" xfId="7" applyFont="1" applyFill="1" applyBorder="1"/>
    <xf numFmtId="0" fontId="19" fillId="0" borderId="7" xfId="7" applyFont="1" applyFill="1" applyBorder="1" applyAlignment="1">
      <alignment horizontal="center"/>
    </xf>
    <xf numFmtId="2" fontId="19" fillId="0" borderId="6" xfId="7" applyNumberFormat="1" applyFont="1" applyFill="1" applyBorder="1" applyAlignment="1">
      <alignment horizontal="right"/>
    </xf>
    <xf numFmtId="2" fontId="19" fillId="0" borderId="7" xfId="7" applyNumberFormat="1" applyFont="1" applyFill="1" applyBorder="1" applyAlignment="1">
      <alignment horizontal="center"/>
    </xf>
    <xf numFmtId="2" fontId="19" fillId="0" borderId="8" xfId="7" applyNumberFormat="1" applyFont="1" applyFill="1" applyBorder="1" applyAlignment="1">
      <alignment horizontal="left"/>
    </xf>
    <xf numFmtId="0" fontId="41" fillId="0" borderId="0" xfId="3" applyFont="1" applyFill="1" applyAlignment="1"/>
    <xf numFmtId="165" fontId="25" fillId="0" borderId="0" xfId="2" applyNumberFormat="1" applyFont="1" applyFill="1" applyAlignment="1">
      <alignment horizontal="center"/>
    </xf>
    <xf numFmtId="0" fontId="42" fillId="0" borderId="0" xfId="7" applyFont="1" applyFill="1"/>
    <xf numFmtId="0" fontId="42" fillId="0" borderId="0" xfId="2" applyFont="1" applyFill="1"/>
    <xf numFmtId="2" fontId="42" fillId="0" borderId="0" xfId="2" applyNumberFormat="1" applyFont="1" applyFill="1"/>
    <xf numFmtId="0" fontId="43" fillId="0" borderId="0" xfId="7" applyFont="1" applyFill="1"/>
    <xf numFmtId="0" fontId="42" fillId="0" borderId="0" xfId="7" applyFont="1" applyFill="1" applyBorder="1"/>
    <xf numFmtId="2" fontId="44" fillId="0" borderId="0" xfId="7" applyNumberFormat="1" applyFont="1" applyFill="1"/>
    <xf numFmtId="0" fontId="0" fillId="0" borderId="0" xfId="0" applyFill="1"/>
    <xf numFmtId="0" fontId="2" fillId="0" borderId="0" xfId="7" applyFill="1"/>
    <xf numFmtId="2" fontId="17" fillId="0" borderId="2" xfId="7" applyNumberFormat="1" applyFont="1" applyFill="1" applyBorder="1" applyAlignment="1">
      <alignment horizontal="left"/>
    </xf>
    <xf numFmtId="0" fontId="17" fillId="0" borderId="4" xfId="7" applyFont="1" applyFill="1" applyBorder="1"/>
    <xf numFmtId="0" fontId="17" fillId="0" borderId="6" xfId="7" applyFont="1" applyFill="1" applyBorder="1"/>
    <xf numFmtId="0" fontId="26" fillId="0" borderId="0" xfId="7" applyFont="1" applyFill="1"/>
    <xf numFmtId="167" fontId="26" fillId="0" borderId="0" xfId="7" applyNumberFormat="1" applyFont="1" applyFill="1"/>
    <xf numFmtId="167" fontId="2" fillId="0" borderId="0" xfId="7" applyNumberFormat="1" applyFill="1"/>
    <xf numFmtId="14" fontId="17" fillId="0" borderId="0" xfId="7" applyNumberFormat="1" applyFont="1" applyFill="1" applyBorder="1"/>
    <xf numFmtId="1" fontId="17" fillId="0" borderId="44" xfId="7" applyNumberFormat="1" applyFont="1" applyFill="1" applyBorder="1" applyAlignment="1">
      <alignment horizontal="center"/>
    </xf>
    <xf numFmtId="168" fontId="17" fillId="0" borderId="24" xfId="10" applyNumberFormat="1" applyFont="1" applyFill="1" applyBorder="1" applyAlignment="1">
      <alignment horizontal="center"/>
    </xf>
    <xf numFmtId="168" fontId="17" fillId="0" borderId="25" xfId="10" applyNumberFormat="1" applyFont="1" applyFill="1" applyBorder="1" applyAlignment="1">
      <alignment horizontal="center"/>
    </xf>
    <xf numFmtId="167" fontId="17" fillId="0" borderId="0" xfId="7" applyNumberFormat="1" applyFont="1" applyFill="1" applyBorder="1"/>
    <xf numFmtId="0" fontId="17" fillId="0" borderId="0" xfId="7" applyFont="1" applyFill="1" applyBorder="1" applyAlignment="1"/>
    <xf numFmtId="1" fontId="17" fillId="0" borderId="12" xfId="7" applyNumberFormat="1" applyFont="1" applyFill="1" applyBorder="1" applyAlignment="1">
      <alignment horizontal="center"/>
    </xf>
    <xf numFmtId="168" fontId="17" fillId="0" borderId="45" xfId="5" applyNumberFormat="1" applyFont="1" applyFill="1" applyBorder="1" applyAlignment="1">
      <alignment horizontal="center"/>
    </xf>
    <xf numFmtId="168" fontId="17" fillId="0" borderId="46" xfId="5" applyNumberFormat="1" applyFont="1" applyFill="1" applyBorder="1" applyAlignment="1">
      <alignment horizontal="center"/>
    </xf>
    <xf numFmtId="168" fontId="17" fillId="0" borderId="51" xfId="2" applyNumberFormat="1" applyFont="1" applyFill="1" applyBorder="1" applyAlignment="1" applyProtection="1">
      <alignment horizontal="center"/>
      <protection locked="0"/>
    </xf>
    <xf numFmtId="168" fontId="17" fillId="0" borderId="52" xfId="2" applyNumberFormat="1" applyFont="1" applyFill="1" applyBorder="1" applyAlignment="1">
      <alignment horizontal="center"/>
    </xf>
    <xf numFmtId="0" fontId="17" fillId="0" borderId="0" xfId="5" applyFont="1" applyFill="1" applyBorder="1" applyAlignment="1"/>
    <xf numFmtId="0" fontId="17" fillId="0" borderId="2" xfId="7" applyFont="1" applyFill="1" applyBorder="1" applyAlignment="1">
      <alignment horizontal="left"/>
    </xf>
    <xf numFmtId="1" fontId="17" fillId="0" borderId="23" xfId="7" applyNumberFormat="1" applyFont="1" applyFill="1" applyBorder="1" applyAlignment="1">
      <alignment horizontal="center"/>
    </xf>
    <xf numFmtId="1" fontId="17" fillId="0" borderId="40" xfId="7" applyNumberFormat="1" applyFont="1" applyFill="1" applyBorder="1" applyAlignment="1">
      <alignment horizontal="center"/>
    </xf>
    <xf numFmtId="1" fontId="17" fillId="0" borderId="23" xfId="10" applyNumberFormat="1" applyFont="1" applyFill="1" applyBorder="1" applyAlignment="1">
      <alignment horizontal="center"/>
    </xf>
    <xf numFmtId="167" fontId="17" fillId="0" borderId="17" xfId="5" applyNumberFormat="1" applyFont="1" applyFill="1" applyBorder="1" applyAlignment="1">
      <alignment horizontal="center"/>
    </xf>
    <xf numFmtId="167" fontId="17" fillId="0" borderId="18" xfId="5" applyNumberFormat="1" applyFont="1" applyFill="1" applyBorder="1" applyAlignment="1">
      <alignment horizontal="center"/>
    </xf>
    <xf numFmtId="167" fontId="17" fillId="0" borderId="51" xfId="7" applyNumberFormat="1" applyFont="1" applyFill="1" applyBorder="1" applyAlignment="1">
      <alignment horizontal="center"/>
    </xf>
    <xf numFmtId="167" fontId="45" fillId="0" borderId="52" xfId="7" applyNumberFormat="1" applyFont="1" applyFill="1" applyBorder="1" applyAlignment="1">
      <alignment horizontal="center"/>
    </xf>
    <xf numFmtId="0" fontId="17" fillId="0" borderId="3" xfId="7" applyFont="1" applyFill="1" applyBorder="1"/>
    <xf numFmtId="169" fontId="17" fillId="0" borderId="0" xfId="7" applyNumberFormat="1" applyFont="1" applyFill="1" applyBorder="1"/>
    <xf numFmtId="2" fontId="17" fillId="0" borderId="0" xfId="7" applyNumberFormat="1" applyFont="1" applyFill="1" applyBorder="1" applyAlignment="1">
      <alignment horizontal="left"/>
    </xf>
    <xf numFmtId="2" fontId="17" fillId="0" borderId="5" xfId="7" applyNumberFormat="1" applyFont="1" applyFill="1" applyBorder="1" applyAlignment="1">
      <alignment horizontal="left"/>
    </xf>
    <xf numFmtId="2" fontId="19" fillId="0" borderId="61" xfId="7" applyNumberFormat="1" applyFont="1" applyFill="1" applyBorder="1"/>
    <xf numFmtId="1" fontId="19" fillId="0" borderId="28" xfId="7" applyNumberFormat="1" applyFont="1" applyFill="1" applyBorder="1"/>
    <xf numFmtId="2" fontId="19" fillId="0" borderId="28" xfId="7" applyNumberFormat="1" applyFont="1" applyFill="1" applyBorder="1"/>
    <xf numFmtId="1" fontId="19" fillId="0" borderId="29" xfId="7" applyNumberFormat="1" applyFont="1" applyFill="1" applyBorder="1"/>
    <xf numFmtId="167" fontId="17" fillId="0" borderId="0" xfId="7" applyNumberFormat="1" applyFont="1" applyFill="1" applyAlignment="1">
      <alignment horizontal="right" vertical="center"/>
    </xf>
    <xf numFmtId="167" fontId="17" fillId="0" borderId="0" xfId="7" applyNumberFormat="1" applyFont="1" applyFill="1" applyBorder="1" applyAlignment="1">
      <alignment horizontal="right" vertical="center"/>
    </xf>
    <xf numFmtId="0" fontId="17" fillId="0" borderId="30" xfId="4" applyFont="1" applyFill="1" applyBorder="1" applyAlignment="1"/>
    <xf numFmtId="165" fontId="17" fillId="0" borderId="23" xfId="7" applyNumberFormat="1" applyFont="1" applyFill="1" applyBorder="1"/>
    <xf numFmtId="1" fontId="17" fillId="0" borderId="24" xfId="7" applyNumberFormat="1" applyFont="1" applyFill="1" applyBorder="1"/>
    <xf numFmtId="165" fontId="17" fillId="0" borderId="24" xfId="7" applyNumberFormat="1" applyFont="1" applyFill="1" applyBorder="1"/>
    <xf numFmtId="165" fontId="17" fillId="0" borderId="25" xfId="7" applyNumberFormat="1" applyFont="1" applyFill="1" applyBorder="1"/>
    <xf numFmtId="165" fontId="17" fillId="0" borderId="22" xfId="7" applyNumberFormat="1" applyFont="1" applyFill="1" applyBorder="1"/>
    <xf numFmtId="165" fontId="17" fillId="0" borderId="51" xfId="7" applyNumberFormat="1" applyFont="1" applyFill="1" applyBorder="1"/>
    <xf numFmtId="165" fontId="17" fillId="0" borderId="52" xfId="7" applyNumberFormat="1" applyFont="1" applyFill="1" applyBorder="1"/>
    <xf numFmtId="2" fontId="17" fillId="0" borderId="25" xfId="7" applyNumberFormat="1" applyFont="1" applyFill="1" applyBorder="1" applyAlignment="1">
      <alignment horizontal="center" vertical="center"/>
    </xf>
    <xf numFmtId="2" fontId="17" fillId="0" borderId="52" xfId="7" applyNumberFormat="1" applyFont="1" applyFill="1" applyBorder="1" applyAlignment="1">
      <alignment horizontal="center" vertical="center"/>
    </xf>
    <xf numFmtId="2" fontId="17" fillId="0" borderId="39" xfId="7" applyNumberFormat="1" applyFont="1" applyFill="1" applyBorder="1" applyAlignment="1">
      <alignment horizontal="center" vertical="center"/>
    </xf>
    <xf numFmtId="0" fontId="17" fillId="0" borderId="0" xfId="4" applyFont="1" applyFill="1" applyBorder="1" applyAlignment="1"/>
    <xf numFmtId="165" fontId="17" fillId="0" borderId="0" xfId="7" applyNumberFormat="1" applyFont="1" applyFill="1" applyBorder="1"/>
    <xf numFmtId="1" fontId="17" fillId="0" borderId="0" xfId="7" applyNumberFormat="1" applyFont="1" applyFill="1" applyBorder="1" applyAlignment="1">
      <alignment horizontal="center" vertical="center"/>
    </xf>
    <xf numFmtId="2" fontId="17" fillId="0" borderId="0" xfId="7" applyNumberFormat="1" applyFont="1" applyFill="1" applyBorder="1" applyAlignment="1">
      <alignment horizontal="center" vertical="center"/>
    </xf>
    <xf numFmtId="1" fontId="17" fillId="0" borderId="12" xfId="10" applyNumberFormat="1" applyFont="1" applyFill="1" applyBorder="1" applyAlignment="1">
      <alignment horizontal="center" vertical="center"/>
    </xf>
    <xf numFmtId="170" fontId="17" fillId="0" borderId="24" xfId="10" applyNumberFormat="1" applyFont="1" applyFill="1" applyBorder="1" applyAlignment="1">
      <alignment horizontal="center" vertical="center"/>
    </xf>
    <xf numFmtId="170" fontId="17" fillId="0" borderId="25" xfId="10" applyNumberFormat="1" applyFont="1" applyFill="1" applyBorder="1" applyAlignment="1">
      <alignment horizontal="center" vertical="center"/>
    </xf>
    <xf numFmtId="170" fontId="17" fillId="0" borderId="17" xfId="10" applyNumberFormat="1" applyFont="1" applyFill="1" applyBorder="1" applyAlignment="1">
      <alignment horizontal="center" vertical="center"/>
    </xf>
    <xf numFmtId="170" fontId="17" fillId="0" borderId="18" xfId="10" applyNumberFormat="1" applyFont="1" applyFill="1" applyBorder="1" applyAlignment="1">
      <alignment horizontal="center" vertical="center"/>
    </xf>
    <xf numFmtId="0" fontId="17" fillId="0" borderId="37" xfId="7" applyFont="1" applyFill="1" applyBorder="1" applyAlignment="1">
      <alignment horizontal="left"/>
    </xf>
    <xf numFmtId="0" fontId="17" fillId="0" borderId="50" xfId="4" applyFont="1" applyFill="1" applyBorder="1" applyAlignment="1"/>
    <xf numFmtId="0" fontId="17" fillId="0" borderId="5" xfId="4" applyFont="1" applyFill="1" applyBorder="1" applyAlignment="1"/>
    <xf numFmtId="165" fontId="17" fillId="0" borderId="44" xfId="7" applyNumberFormat="1" applyFont="1" applyFill="1" applyBorder="1"/>
    <xf numFmtId="1" fontId="17" fillId="0" borderId="45" xfId="7" applyNumberFormat="1" applyFont="1" applyFill="1" applyBorder="1"/>
    <xf numFmtId="165" fontId="17" fillId="0" borderId="45" xfId="7" applyNumberFormat="1" applyFont="1" applyFill="1" applyBorder="1"/>
    <xf numFmtId="165" fontId="17" fillId="0" borderId="70" xfId="7" applyNumberFormat="1" applyFont="1" applyFill="1" applyBorder="1"/>
    <xf numFmtId="1" fontId="17" fillId="0" borderId="44" xfId="10" applyNumberFormat="1" applyFont="1" applyFill="1" applyBorder="1" applyAlignment="1">
      <alignment horizontal="center" vertical="center"/>
    </xf>
    <xf numFmtId="170" fontId="17" fillId="0" borderId="38" xfId="10" applyNumberFormat="1" applyFont="1" applyFill="1" applyBorder="1" applyAlignment="1">
      <alignment horizontal="center" vertical="center"/>
    </xf>
    <xf numFmtId="170" fontId="17" fillId="0" borderId="39" xfId="10" applyNumberFormat="1" applyFont="1" applyFill="1" applyBorder="1" applyAlignment="1">
      <alignment horizontal="center" vertical="center"/>
    </xf>
    <xf numFmtId="165" fontId="17" fillId="0" borderId="57" xfId="7" applyNumberFormat="1" applyFont="1" applyFill="1" applyBorder="1"/>
    <xf numFmtId="167" fontId="17" fillId="0" borderId="24" xfId="5" applyNumberFormat="1" applyFont="1" applyFill="1" applyBorder="1" applyAlignment="1">
      <alignment horizontal="center"/>
    </xf>
    <xf numFmtId="167" fontId="17" fillId="0" borderId="25" xfId="5" applyNumberFormat="1" applyFont="1" applyFill="1" applyBorder="1" applyAlignment="1">
      <alignment horizontal="center"/>
    </xf>
    <xf numFmtId="0" fontId="17" fillId="0" borderId="8" xfId="4" applyFont="1" applyFill="1" applyBorder="1" applyAlignment="1"/>
    <xf numFmtId="165" fontId="17" fillId="0" borderId="37" xfId="7" applyNumberFormat="1" applyFont="1" applyFill="1" applyBorder="1"/>
    <xf numFmtId="1" fontId="17" fillId="0" borderId="38" xfId="7" applyNumberFormat="1" applyFont="1" applyFill="1" applyBorder="1"/>
    <xf numFmtId="165" fontId="17" fillId="0" borderId="38" xfId="7" applyNumberFormat="1" applyFont="1" applyFill="1" applyBorder="1"/>
    <xf numFmtId="165" fontId="17" fillId="0" borderId="50" xfId="7" applyNumberFormat="1" applyFont="1" applyFill="1" applyBorder="1"/>
    <xf numFmtId="1" fontId="17" fillId="0" borderId="37" xfId="7" applyNumberFormat="1" applyFont="1" applyFill="1" applyBorder="1" applyAlignment="1">
      <alignment horizontal="center"/>
    </xf>
    <xf numFmtId="167" fontId="17" fillId="0" borderId="38" xfId="5" applyNumberFormat="1" applyFont="1" applyFill="1" applyBorder="1" applyAlignment="1">
      <alignment horizontal="center"/>
    </xf>
    <xf numFmtId="167" fontId="17" fillId="0" borderId="39" xfId="5" applyNumberFormat="1" applyFont="1" applyFill="1" applyBorder="1" applyAlignment="1">
      <alignment horizontal="center"/>
    </xf>
    <xf numFmtId="0" fontId="41" fillId="0" borderId="0" xfId="3" applyFont="1" applyFill="1" applyAlignment="1">
      <alignment horizontal="center"/>
    </xf>
    <xf numFmtId="165" fontId="17" fillId="0" borderId="69" xfId="7" applyNumberFormat="1" applyFont="1" applyFill="1" applyBorder="1" applyAlignment="1">
      <alignment horizontal="left"/>
    </xf>
    <xf numFmtId="0" fontId="17" fillId="0" borderId="1" xfId="7" applyFont="1" applyFill="1" applyBorder="1" applyAlignment="1"/>
    <xf numFmtId="0" fontId="17" fillId="0" borderId="2" xfId="7" applyFont="1" applyFill="1" applyBorder="1" applyAlignment="1"/>
    <xf numFmtId="0" fontId="17" fillId="0" borderId="3" xfId="7" applyFont="1" applyFill="1" applyBorder="1" applyAlignment="1"/>
    <xf numFmtId="0" fontId="17" fillId="0" borderId="0" xfId="2" applyFont="1" applyFill="1"/>
    <xf numFmtId="0" fontId="17" fillId="0" borderId="0" xfId="2" applyFont="1" applyFill="1" applyBorder="1"/>
    <xf numFmtId="0" fontId="25" fillId="0" borderId="0" xfId="2" applyFont="1" applyFill="1" applyBorder="1"/>
    <xf numFmtId="0" fontId="2" fillId="0" borderId="0" xfId="7" applyFont="1" applyFill="1"/>
    <xf numFmtId="2" fontId="2" fillId="0" borderId="0" xfId="7" applyNumberFormat="1" applyFont="1" applyFill="1" applyBorder="1"/>
    <xf numFmtId="0" fontId="2" fillId="0" borderId="0" xfId="7" applyFont="1" applyFill="1" applyBorder="1"/>
    <xf numFmtId="0" fontId="43" fillId="0" borderId="0" xfId="7" applyFont="1" applyFill="1" applyBorder="1"/>
    <xf numFmtId="2" fontId="44" fillId="0" borderId="0" xfId="7" applyNumberFormat="1" applyFont="1" applyFill="1" applyBorder="1"/>
    <xf numFmtId="0" fontId="0" fillId="0" borderId="0" xfId="0" applyFill="1" applyBorder="1"/>
    <xf numFmtId="0" fontId="2" fillId="0" borderId="0" xfId="7" applyFill="1" applyBorder="1"/>
    <xf numFmtId="171" fontId="17" fillId="0" borderId="0" xfId="7" applyNumberFormat="1" applyFont="1" applyFill="1" applyBorder="1"/>
    <xf numFmtId="0" fontId="2" fillId="0" borderId="0" xfId="0" applyFont="1" applyFill="1" applyBorder="1"/>
    <xf numFmtId="168" fontId="17" fillId="0" borderId="17" xfId="5" applyNumberFormat="1" applyFont="1" applyFill="1" applyBorder="1" applyAlignment="1">
      <alignment horizontal="center"/>
    </xf>
    <xf numFmtId="168" fontId="17" fillId="0" borderId="18" xfId="5" applyNumberFormat="1" applyFont="1" applyFill="1" applyBorder="1" applyAlignment="1">
      <alignment horizontal="center"/>
    </xf>
    <xf numFmtId="168" fontId="17" fillId="0" borderId="52" xfId="5" applyNumberFormat="1" applyFont="1" applyFill="1" applyBorder="1" applyAlignment="1">
      <alignment horizontal="center"/>
    </xf>
    <xf numFmtId="167" fontId="42" fillId="0" borderId="0" xfId="7" applyNumberFormat="1" applyFont="1" applyFill="1" applyBorder="1"/>
    <xf numFmtId="168" fontId="17" fillId="0" borderId="51" xfId="7" applyNumberFormat="1" applyFont="1" applyFill="1" applyBorder="1" applyAlignment="1">
      <alignment horizontal="center"/>
    </xf>
    <xf numFmtId="168" fontId="45" fillId="0" borderId="52" xfId="7" applyNumberFormat="1" applyFont="1" applyFill="1" applyBorder="1" applyAlignment="1">
      <alignment horizontal="center"/>
    </xf>
    <xf numFmtId="167" fontId="17" fillId="0" borderId="0" xfId="7" applyNumberFormat="1" applyFont="1" applyFill="1" applyAlignment="1">
      <alignment horizontal="right"/>
    </xf>
    <xf numFmtId="167" fontId="17" fillId="0" borderId="0" xfId="7" applyNumberFormat="1" applyFont="1" applyFill="1" applyBorder="1" applyAlignment="1">
      <alignment horizontal="right"/>
    </xf>
    <xf numFmtId="0" fontId="2" fillId="0" borderId="0" xfId="7" applyFont="1" applyFill="1" applyBorder="1" applyAlignment="1">
      <alignment horizontal="right"/>
    </xf>
    <xf numFmtId="171" fontId="2" fillId="0" borderId="0" xfId="7" applyNumberFormat="1" applyFont="1" applyFill="1" applyBorder="1"/>
    <xf numFmtId="0" fontId="0" fillId="0" borderId="0" xfId="7" applyFont="1" applyFill="1" applyBorder="1"/>
    <xf numFmtId="0" fontId="17" fillId="0" borderId="58" xfId="7" applyFont="1" applyFill="1" applyBorder="1" applyAlignment="1">
      <alignment horizontal="left"/>
    </xf>
    <xf numFmtId="0" fontId="17" fillId="0" borderId="59" xfId="4" applyFont="1" applyFill="1" applyBorder="1" applyAlignment="1"/>
    <xf numFmtId="0" fontId="17" fillId="0" borderId="56" xfId="4" applyFont="1" applyFill="1" applyBorder="1" applyAlignment="1"/>
    <xf numFmtId="166" fontId="2" fillId="0" borderId="0" xfId="7" applyNumberFormat="1" applyFill="1"/>
    <xf numFmtId="0" fontId="27" fillId="0" borderId="0" xfId="7" applyFont="1" applyFill="1"/>
    <xf numFmtId="167" fontId="27" fillId="0" borderId="0" xfId="7" applyNumberFormat="1" applyFont="1" applyFill="1"/>
    <xf numFmtId="0" fontId="27" fillId="0" borderId="0" xfId="7" applyFont="1" applyFill="1" applyBorder="1"/>
    <xf numFmtId="0" fontId="20" fillId="0" borderId="0" xfId="7" applyFont="1" applyFill="1"/>
    <xf numFmtId="14" fontId="20" fillId="0" borderId="0" xfId="7" applyNumberFormat="1" applyFont="1" applyFill="1"/>
    <xf numFmtId="164" fontId="2" fillId="0" borderId="0" xfId="10" applyNumberFormat="1" applyFill="1"/>
    <xf numFmtId="164" fontId="8" fillId="0" borderId="0" xfId="10" applyFont="1" applyFill="1"/>
    <xf numFmtId="164" fontId="8" fillId="0" borderId="0" xfId="10" applyFont="1" applyFill="1" applyBorder="1"/>
    <xf numFmtId="164" fontId="8" fillId="0" borderId="0" xfId="1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164" fontId="4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1" fontId="0" fillId="0" borderId="58" xfId="0" applyNumberFormat="1" applyFill="1" applyBorder="1" applyAlignment="1">
      <alignment horizontal="center" vertical="center"/>
    </xf>
    <xf numFmtId="167" fontId="4" fillId="0" borderId="24" xfId="0" applyNumberFormat="1" applyFont="1" applyFill="1" applyBorder="1" applyAlignment="1">
      <alignment horizontal="center" vertical="center"/>
    </xf>
    <xf numFmtId="167" fontId="4" fillId="0" borderId="25" xfId="0" applyNumberFormat="1" applyFont="1" applyFill="1" applyBorder="1" applyAlignment="1">
      <alignment horizontal="center" vertical="center"/>
    </xf>
    <xf numFmtId="172" fontId="2" fillId="0" borderId="0" xfId="10" applyNumberFormat="1" applyFont="1" applyFill="1"/>
    <xf numFmtId="0" fontId="4" fillId="0" borderId="0" xfId="0" applyFont="1" applyFill="1"/>
    <xf numFmtId="167" fontId="4" fillId="0" borderId="0" xfId="0" applyNumberFormat="1" applyFont="1" applyFill="1"/>
    <xf numFmtId="1" fontId="0" fillId="0" borderId="12" xfId="0" applyNumberFormat="1" applyFill="1" applyBorder="1" applyAlignment="1">
      <alignment horizontal="center" vertical="center"/>
    </xf>
    <xf numFmtId="167" fontId="4" fillId="0" borderId="17" xfId="0" applyNumberFormat="1" applyFont="1" applyFill="1" applyBorder="1" applyAlignment="1">
      <alignment horizontal="center" vertical="center"/>
    </xf>
    <xf numFmtId="167" fontId="4" fillId="0" borderId="18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/>
    </xf>
    <xf numFmtId="0" fontId="4" fillId="0" borderId="22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1" fontId="0" fillId="0" borderId="23" xfId="0" applyNumberFormat="1" applyFill="1" applyBorder="1" applyAlignment="1">
      <alignment horizontal="center" vertical="center"/>
    </xf>
    <xf numFmtId="167" fontId="0" fillId="0" borderId="0" xfId="0" applyNumberFormat="1" applyFill="1"/>
    <xf numFmtId="164" fontId="4" fillId="0" borderId="0" xfId="10" applyFont="1" applyFill="1"/>
    <xf numFmtId="2" fontId="0" fillId="0" borderId="0" xfId="0" applyNumberFormat="1" applyFill="1"/>
    <xf numFmtId="167" fontId="0" fillId="0" borderId="24" xfId="0" applyNumberFormat="1" applyFill="1" applyBorder="1" applyAlignment="1">
      <alignment horizontal="center" vertical="center"/>
    </xf>
    <xf numFmtId="167" fontId="0" fillId="0" borderId="25" xfId="0" applyNumberFormat="1" applyFill="1" applyBorder="1" applyAlignment="1">
      <alignment horizontal="center" vertical="center"/>
    </xf>
    <xf numFmtId="1" fontId="0" fillId="0" borderId="22" xfId="0" applyNumberFormat="1" applyFill="1" applyBorder="1" applyAlignment="1">
      <alignment horizontal="center" vertical="center"/>
    </xf>
    <xf numFmtId="167" fontId="0" fillId="0" borderId="51" xfId="0" applyNumberFormat="1" applyFill="1" applyBorder="1" applyAlignment="1">
      <alignment horizontal="center" vertical="center"/>
    </xf>
    <xf numFmtId="167" fontId="0" fillId="0" borderId="52" xfId="0" applyNumberForma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2" xfId="0" applyFont="1" applyFill="1" applyBorder="1"/>
    <xf numFmtId="2" fontId="4" fillId="0" borderId="2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4" fillId="0" borderId="3" xfId="0" applyFont="1" applyFill="1" applyBorder="1"/>
    <xf numFmtId="0" fontId="4" fillId="0" borderId="4" xfId="0" applyFont="1" applyFill="1" applyBorder="1"/>
    <xf numFmtId="167" fontId="4" fillId="0" borderId="0" xfId="0" applyNumberFormat="1" applyFont="1" applyFill="1" applyBorder="1"/>
    <xf numFmtId="167" fontId="4" fillId="0" borderId="5" xfId="0" applyNumberFormat="1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2" fontId="4" fillId="0" borderId="7" xfId="0" applyNumberFormat="1" applyFont="1" applyFill="1" applyBorder="1" applyAlignment="1">
      <alignment horizontal="left"/>
    </xf>
    <xf numFmtId="0" fontId="4" fillId="0" borderId="6" xfId="0" applyFont="1" applyFill="1" applyBorder="1" applyAlignment="1">
      <alignment horizontal="right"/>
    </xf>
    <xf numFmtId="0" fontId="4" fillId="0" borderId="8" xfId="0" applyFont="1" applyFill="1" applyBorder="1"/>
    <xf numFmtId="167" fontId="4" fillId="0" borderId="7" xfId="0" applyNumberFormat="1" applyFont="1" applyFill="1" applyBorder="1"/>
    <xf numFmtId="0" fontId="5" fillId="0" borderId="44" xfId="0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5" fillId="0" borderId="46" xfId="0" applyFont="1" applyFill="1" applyBorder="1" applyAlignment="1">
      <alignment horizontal="center"/>
    </xf>
    <xf numFmtId="0" fontId="3" fillId="0" borderId="28" xfId="0" applyFont="1" applyFill="1" applyBorder="1"/>
    <xf numFmtId="0" fontId="3" fillId="0" borderId="62" xfId="0" applyFont="1" applyFill="1" applyBorder="1"/>
    <xf numFmtId="0" fontId="4" fillId="0" borderId="37" xfId="0" applyFont="1" applyFill="1" applyBorder="1" applyAlignment="1">
      <alignment horizontal="center"/>
    </xf>
    <xf numFmtId="0" fontId="4" fillId="0" borderId="38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2" fontId="4" fillId="0" borderId="23" xfId="0" applyNumberFormat="1" applyFont="1" applyFill="1" applyBorder="1"/>
    <xf numFmtId="1" fontId="4" fillId="0" borderId="24" xfId="0" applyNumberFormat="1" applyFont="1" applyFill="1" applyBorder="1"/>
    <xf numFmtId="2" fontId="4" fillId="0" borderId="24" xfId="0" applyNumberFormat="1" applyFont="1" applyFill="1" applyBorder="1"/>
    <xf numFmtId="1" fontId="4" fillId="0" borderId="25" xfId="0" applyNumberFormat="1" applyFont="1" applyFill="1" applyBorder="1"/>
    <xf numFmtId="1" fontId="0" fillId="0" borderId="23" xfId="0" applyNumberFormat="1" applyFill="1" applyBorder="1" applyAlignment="1">
      <alignment horizontal="center"/>
    </xf>
    <xf numFmtId="167" fontId="0" fillId="0" borderId="24" xfId="0" applyNumberFormat="1" applyFill="1" applyBorder="1" applyAlignment="1">
      <alignment horizontal="center"/>
    </xf>
    <xf numFmtId="167" fontId="0" fillId="0" borderId="25" xfId="0" applyNumberFormat="1" applyFill="1" applyBorder="1" applyAlignment="1">
      <alignment horizontal="center"/>
    </xf>
    <xf numFmtId="167" fontId="4" fillId="0" borderId="54" xfId="0" applyNumberFormat="1" applyFont="1" applyFill="1" applyBorder="1" applyAlignment="1">
      <alignment horizontal="center"/>
    </xf>
    <xf numFmtId="167" fontId="4" fillId="0" borderId="55" xfId="0" applyNumberFormat="1" applyFont="1" applyFill="1" applyBorder="1" applyAlignment="1">
      <alignment horizontal="center"/>
    </xf>
    <xf numFmtId="167" fontId="4" fillId="0" borderId="24" xfId="0" applyNumberFormat="1" applyFont="1" applyFill="1" applyBorder="1" applyAlignment="1">
      <alignment horizontal="center"/>
    </xf>
    <xf numFmtId="167" fontId="4" fillId="0" borderId="25" xfId="0" applyNumberFormat="1" applyFont="1" applyFill="1" applyBorder="1" applyAlignment="1">
      <alignment horizontal="center"/>
    </xf>
    <xf numFmtId="2" fontId="4" fillId="0" borderId="0" xfId="0" applyNumberFormat="1" applyFont="1" applyFill="1"/>
    <xf numFmtId="2" fontId="4" fillId="0" borderId="61" xfId="0" applyNumberFormat="1" applyFont="1" applyFill="1" applyBorder="1"/>
    <xf numFmtId="1" fontId="4" fillId="0" borderId="28" xfId="0" applyNumberFormat="1" applyFont="1" applyFill="1" applyBorder="1"/>
    <xf numFmtId="2" fontId="4" fillId="0" borderId="28" xfId="0" applyNumberFormat="1" applyFont="1" applyFill="1" applyBorder="1"/>
    <xf numFmtId="1" fontId="4" fillId="0" borderId="29" xfId="0" applyNumberFormat="1" applyFont="1" applyFill="1" applyBorder="1"/>
    <xf numFmtId="1" fontId="0" fillId="0" borderId="12" xfId="0" applyNumberFormat="1" applyFill="1" applyBorder="1" applyAlignment="1">
      <alignment horizontal="center"/>
    </xf>
    <xf numFmtId="167" fontId="0" fillId="0" borderId="54" xfId="0" applyNumberFormat="1" applyFill="1" applyBorder="1" applyAlignment="1">
      <alignment horizontal="center"/>
    </xf>
    <xf numFmtId="167" fontId="0" fillId="0" borderId="55" xfId="0" applyNumberFormat="1" applyFill="1" applyBorder="1" applyAlignment="1">
      <alignment horizontal="center"/>
    </xf>
    <xf numFmtId="167" fontId="4" fillId="0" borderId="17" xfId="0" applyNumberFormat="1" applyFont="1" applyFill="1" applyBorder="1" applyAlignment="1">
      <alignment horizontal="center"/>
    </xf>
    <xf numFmtId="167" fontId="4" fillId="0" borderId="18" xfId="0" applyNumberFormat="1" applyFont="1" applyFill="1" applyBorder="1" applyAlignment="1">
      <alignment horizontal="center"/>
    </xf>
    <xf numFmtId="0" fontId="4" fillId="0" borderId="12" xfId="0" applyFont="1" applyFill="1" applyBorder="1"/>
    <xf numFmtId="0" fontId="4" fillId="0" borderId="17" xfId="0" applyFont="1" applyFill="1" applyBorder="1"/>
    <xf numFmtId="0" fontId="4" fillId="0" borderId="18" xfId="0" applyFont="1" applyFill="1" applyBorder="1"/>
    <xf numFmtId="0" fontId="1" fillId="0" borderId="37" xfId="0" applyFont="1" applyFill="1" applyBorder="1"/>
    <xf numFmtId="0" fontId="1" fillId="0" borderId="38" xfId="0" applyFont="1" applyFill="1" applyBorder="1"/>
    <xf numFmtId="0" fontId="1" fillId="0" borderId="39" xfId="0" applyFont="1" applyFill="1" applyBorder="1"/>
    <xf numFmtId="1" fontId="1" fillId="0" borderId="22" xfId="0" applyNumberFormat="1" applyFont="1" applyFill="1" applyBorder="1" applyAlignment="1">
      <alignment horizontal="center"/>
    </xf>
    <xf numFmtId="167" fontId="1" fillId="0" borderId="38" xfId="0" applyNumberFormat="1" applyFont="1" applyFill="1" applyBorder="1" applyAlignment="1">
      <alignment horizontal="center"/>
    </xf>
    <xf numFmtId="167" fontId="1" fillId="0" borderId="39" xfId="0" applyNumberFormat="1" applyFont="1" applyFill="1" applyBorder="1" applyAlignment="1">
      <alignment horizontal="center"/>
    </xf>
    <xf numFmtId="0" fontId="1" fillId="0" borderId="0" xfId="0" applyFont="1" applyFill="1"/>
    <xf numFmtId="2" fontId="4" fillId="0" borderId="12" xfId="0" applyNumberFormat="1" applyFont="1" applyFill="1" applyBorder="1"/>
    <xf numFmtId="1" fontId="4" fillId="0" borderId="17" xfId="0" applyNumberFormat="1" applyFont="1" applyFill="1" applyBorder="1"/>
    <xf numFmtId="2" fontId="4" fillId="0" borderId="17" xfId="0" applyNumberFormat="1" applyFont="1" applyFill="1" applyBorder="1"/>
    <xf numFmtId="1" fontId="4" fillId="0" borderId="18" xfId="0" applyNumberFormat="1" applyFont="1" applyFill="1" applyBorder="1"/>
    <xf numFmtId="167" fontId="0" fillId="0" borderId="17" xfId="0" applyNumberFormat="1" applyFill="1" applyBorder="1" applyAlignment="1">
      <alignment horizontal="center"/>
    </xf>
    <xf numFmtId="167" fontId="0" fillId="0" borderId="18" xfId="0" applyNumberFormat="1" applyFill="1" applyBorder="1" applyAlignment="1">
      <alignment horizontal="center"/>
    </xf>
    <xf numFmtId="1" fontId="1" fillId="0" borderId="37" xfId="0" applyNumberFormat="1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 vertical="center"/>
    </xf>
    <xf numFmtId="167" fontId="0" fillId="0" borderId="0" xfId="0" applyNumberFormat="1" applyFill="1" applyBorder="1" applyAlignment="1">
      <alignment horizontal="center" vertical="center"/>
    </xf>
    <xf numFmtId="0" fontId="20" fillId="0" borderId="0" xfId="7" applyFont="1" applyFill="1" applyAlignment="1">
      <alignment vertical="center"/>
    </xf>
    <xf numFmtId="0" fontId="2" fillId="0" borderId="0" xfId="7" applyFill="1" applyAlignment="1">
      <alignment vertical="center"/>
    </xf>
    <xf numFmtId="14" fontId="20" fillId="0" borderId="0" xfId="7" applyNumberFormat="1" applyFont="1" applyFill="1" applyAlignment="1">
      <alignment vertical="center"/>
    </xf>
    <xf numFmtId="0" fontId="17" fillId="0" borderId="0" xfId="5" applyFont="1" applyFill="1" applyBorder="1" applyAlignment="1">
      <alignment vertical="center"/>
    </xf>
    <xf numFmtId="0" fontId="17" fillId="0" borderId="0" xfId="5" applyFont="1" applyFill="1" applyAlignment="1">
      <alignment vertical="center"/>
    </xf>
    <xf numFmtId="0" fontId="19" fillId="0" borderId="43" xfId="5" applyFont="1" applyFill="1" applyBorder="1" applyAlignment="1">
      <alignment horizontal="center" vertical="center"/>
    </xf>
    <xf numFmtId="0" fontId="19" fillId="0" borderId="24" xfId="5" applyFont="1" applyFill="1" applyBorder="1" applyAlignment="1">
      <alignment horizontal="center" vertical="center"/>
    </xf>
    <xf numFmtId="0" fontId="19" fillId="0" borderId="25" xfId="5" applyFont="1" applyFill="1" applyBorder="1" applyAlignment="1">
      <alignment horizontal="center" vertical="center"/>
    </xf>
    <xf numFmtId="0" fontId="19" fillId="0" borderId="23" xfId="5" applyFont="1" applyFill="1" applyBorder="1" applyAlignment="1">
      <alignment horizontal="center" vertical="center"/>
    </xf>
    <xf numFmtId="0" fontId="17" fillId="0" borderId="71" xfId="5" applyFont="1" applyFill="1" applyBorder="1" applyAlignment="1">
      <alignment horizontal="center" vertical="center"/>
    </xf>
    <xf numFmtId="0" fontId="17" fillId="0" borderId="51" xfId="5" applyFont="1" applyFill="1" applyBorder="1" applyAlignment="1">
      <alignment horizontal="center" vertical="center"/>
    </xf>
    <xf numFmtId="0" fontId="17" fillId="0" borderId="52" xfId="5" applyFont="1" applyFill="1" applyBorder="1" applyAlignment="1">
      <alignment horizontal="center" vertical="center"/>
    </xf>
    <xf numFmtId="0" fontId="17" fillId="0" borderId="22" xfId="5" applyFont="1" applyFill="1" applyBorder="1" applyAlignment="1">
      <alignment horizontal="center" vertical="center"/>
    </xf>
    <xf numFmtId="167" fontId="28" fillId="0" borderId="12" xfId="0" applyNumberFormat="1" applyFont="1" applyFill="1" applyBorder="1" applyAlignment="1">
      <alignment horizontal="center" vertical="center"/>
    </xf>
    <xf numFmtId="168" fontId="29" fillId="0" borderId="24" xfId="10" applyNumberFormat="1" applyFont="1" applyFill="1" applyBorder="1" applyAlignment="1">
      <alignment horizontal="center" vertical="center"/>
    </xf>
    <xf numFmtId="168" fontId="29" fillId="0" borderId="25" xfId="10" applyNumberFormat="1" applyFont="1" applyFill="1" applyBorder="1" applyAlignment="1">
      <alignment horizontal="center" vertical="center"/>
    </xf>
    <xf numFmtId="2" fontId="17" fillId="0" borderId="0" xfId="7" applyNumberFormat="1" applyFont="1" applyFill="1" applyAlignment="1">
      <alignment vertical="center"/>
    </xf>
    <xf numFmtId="0" fontId="17" fillId="0" borderId="0" xfId="7" applyFont="1" applyFill="1" applyAlignment="1">
      <alignment vertical="center"/>
    </xf>
    <xf numFmtId="168" fontId="29" fillId="0" borderId="71" xfId="10" applyNumberFormat="1" applyFont="1" applyFill="1" applyBorder="1" applyAlignment="1">
      <alignment horizontal="center" vertical="center"/>
    </xf>
    <xf numFmtId="168" fontId="2" fillId="0" borderId="0" xfId="10" applyNumberFormat="1" applyFont="1" applyFill="1"/>
    <xf numFmtId="164" fontId="17" fillId="0" borderId="2" xfId="10" applyFont="1" applyFill="1" applyBorder="1" applyAlignment="1" applyProtection="1">
      <protection locked="0"/>
    </xf>
    <xf numFmtId="173" fontId="17" fillId="0" borderId="2" xfId="10" applyNumberFormat="1" applyFont="1" applyFill="1" applyBorder="1" applyAlignment="1" applyProtection="1">
      <alignment horizontal="center" vertical="center"/>
      <protection locked="0"/>
    </xf>
    <xf numFmtId="164" fontId="17" fillId="0" borderId="3" xfId="10" applyFont="1" applyFill="1" applyBorder="1" applyAlignment="1" applyProtection="1">
      <protection locked="0"/>
    </xf>
    <xf numFmtId="174" fontId="17" fillId="2" borderId="32" xfId="10" applyNumberFormat="1" applyFont="1" applyFill="1" applyBorder="1" applyAlignment="1">
      <alignment vertical="center"/>
    </xf>
    <xf numFmtId="174" fontId="17" fillId="2" borderId="31" xfId="10" applyNumberFormat="1" applyFont="1" applyFill="1" applyBorder="1" applyAlignment="1">
      <alignment horizontal="center" vertical="center"/>
    </xf>
    <xf numFmtId="174" fontId="17" fillId="2" borderId="19" xfId="10" applyNumberFormat="1" applyFont="1" applyFill="1" applyBorder="1" applyAlignment="1">
      <alignment horizontal="center" vertical="center"/>
    </xf>
    <xf numFmtId="174" fontId="17" fillId="2" borderId="32" xfId="10" applyNumberFormat="1" applyFont="1" applyFill="1" applyBorder="1" applyAlignment="1">
      <alignment horizontal="center" vertical="center"/>
    </xf>
    <xf numFmtId="0" fontId="17" fillId="2" borderId="0" xfId="7" applyFont="1" applyFill="1"/>
    <xf numFmtId="164" fontId="17" fillId="2" borderId="27" xfId="10" applyFont="1" applyFill="1" applyBorder="1" applyAlignment="1">
      <alignment vertical="center"/>
    </xf>
    <xf numFmtId="164" fontId="17" fillId="2" borderId="36" xfId="10" applyFont="1" applyFill="1" applyBorder="1" applyAlignment="1">
      <alignment horizontal="center" vertical="center"/>
    </xf>
    <xf numFmtId="164" fontId="17" fillId="2" borderId="21" xfId="10" applyFont="1" applyFill="1" applyBorder="1" applyAlignment="1">
      <alignment horizontal="center" vertical="center"/>
    </xf>
    <xf numFmtId="164" fontId="17" fillId="2" borderId="27" xfId="10" applyFont="1" applyFill="1" applyBorder="1" applyAlignment="1">
      <alignment horizontal="center" vertical="center"/>
    </xf>
    <xf numFmtId="0" fontId="17" fillId="0" borderId="32" xfId="0" applyFont="1" applyFill="1" applyBorder="1" applyAlignment="1">
      <alignment vertical="center"/>
    </xf>
    <xf numFmtId="0" fontId="17" fillId="0" borderId="19" xfId="0" applyFont="1" applyFill="1" applyBorder="1" applyAlignment="1">
      <alignment vertical="center"/>
    </xf>
    <xf numFmtId="0" fontId="0" fillId="0" borderId="32" xfId="0" applyFill="1" applyBorder="1" applyAlignment="1">
      <alignment horizontal="center" vertical="center"/>
    </xf>
    <xf numFmtId="0" fontId="0" fillId="0" borderId="19" xfId="0" applyFill="1" applyBorder="1" applyAlignment="1">
      <alignment vertical="center"/>
    </xf>
    <xf numFmtId="167" fontId="28" fillId="0" borderId="61" xfId="0" applyNumberFormat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vertical="center"/>
    </xf>
    <xf numFmtId="0" fontId="17" fillId="0" borderId="8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168" fontId="29" fillId="0" borderId="14" xfId="10" applyNumberFormat="1" applyFont="1" applyFill="1" applyBorder="1" applyAlignment="1" applyProtection="1">
      <alignment vertical="center"/>
      <protection locked="0"/>
    </xf>
    <xf numFmtId="168" fontId="29" fillId="0" borderId="13" xfId="10" applyNumberFormat="1" applyFont="1" applyFill="1" applyBorder="1" applyAlignment="1" applyProtection="1">
      <alignment vertical="center"/>
      <protection locked="0"/>
    </xf>
    <xf numFmtId="168" fontId="29" fillId="0" borderId="15" xfId="10" applyNumberFormat="1" applyFont="1" applyFill="1" applyBorder="1" applyAlignment="1" applyProtection="1">
      <alignment vertical="center"/>
      <protection locked="0"/>
    </xf>
    <xf numFmtId="0" fontId="17" fillId="0" borderId="4" xfId="7" applyFont="1" applyFill="1" applyBorder="1" applyAlignment="1">
      <alignment vertical="center"/>
    </xf>
    <xf numFmtId="0" fontId="17" fillId="0" borderId="0" xfId="7" applyFont="1" applyFill="1" applyBorder="1" applyAlignment="1">
      <alignment vertical="center"/>
    </xf>
    <xf numFmtId="164" fontId="17" fillId="0" borderId="23" xfId="10" applyFont="1" applyFill="1" applyBorder="1" applyAlignment="1">
      <alignment horizontal="center" vertical="center"/>
    </xf>
    <xf numFmtId="164" fontId="17" fillId="0" borderId="24" xfId="10" applyFont="1" applyFill="1" applyBorder="1" applyAlignment="1">
      <alignment horizontal="center" vertical="center"/>
    </xf>
    <xf numFmtId="164" fontId="17" fillId="0" borderId="25" xfId="10" applyFont="1" applyFill="1" applyBorder="1" applyAlignment="1">
      <alignment horizontal="center" vertical="center"/>
    </xf>
    <xf numFmtId="168" fontId="29" fillId="0" borderId="37" xfId="10" applyNumberFormat="1" applyFont="1" applyFill="1" applyBorder="1" applyAlignment="1">
      <alignment horizontal="center" vertical="center"/>
    </xf>
    <xf numFmtId="168" fontId="29" fillId="0" borderId="38" xfId="10" applyNumberFormat="1" applyFont="1" applyFill="1" applyBorder="1" applyAlignment="1" applyProtection="1">
      <alignment horizontal="center" vertical="center"/>
      <protection locked="0"/>
    </xf>
    <xf numFmtId="168" fontId="29" fillId="0" borderId="39" xfId="10" applyNumberFormat="1" applyFont="1" applyFill="1" applyBorder="1" applyAlignment="1">
      <alignment horizontal="center" vertical="center"/>
    </xf>
    <xf numFmtId="2" fontId="17" fillId="0" borderId="22" xfId="7" applyNumberFormat="1" applyFont="1" applyFill="1" applyBorder="1" applyAlignment="1">
      <alignment horizontal="center" vertical="center"/>
    </xf>
    <xf numFmtId="2" fontId="17" fillId="0" borderId="51" xfId="7" applyNumberFormat="1" applyFont="1" applyFill="1" applyBorder="1" applyAlignment="1">
      <alignment horizontal="center" vertical="center"/>
    </xf>
    <xf numFmtId="2" fontId="30" fillId="0" borderId="52" xfId="7" quotePrefix="1" applyNumberFormat="1" applyFont="1" applyFill="1" applyBorder="1" applyAlignment="1">
      <alignment horizontal="center" vertical="center"/>
    </xf>
    <xf numFmtId="2" fontId="17" fillId="0" borderId="13" xfId="7" applyNumberFormat="1" applyFont="1" applyFill="1" applyBorder="1" applyAlignment="1">
      <alignment horizontal="center"/>
    </xf>
    <xf numFmtId="2" fontId="17" fillId="0" borderId="15" xfId="7" applyNumberFormat="1" applyFont="1" applyFill="1" applyBorder="1" applyAlignment="1">
      <alignment horizontal="left"/>
    </xf>
    <xf numFmtId="0" fontId="17" fillId="0" borderId="15" xfId="7" applyFont="1" applyFill="1" applyBorder="1"/>
    <xf numFmtId="0" fontId="19" fillId="0" borderId="4" xfId="7" applyFont="1" applyFill="1" applyBorder="1"/>
    <xf numFmtId="1" fontId="17" fillId="0" borderId="5" xfId="7" applyNumberFormat="1" applyFont="1" applyFill="1" applyBorder="1"/>
    <xf numFmtId="2" fontId="19" fillId="0" borderId="22" xfId="7" applyNumberFormat="1" applyFont="1" applyFill="1" applyBorder="1" applyAlignment="1">
      <alignment vertical="center"/>
    </xf>
    <xf numFmtId="1" fontId="19" fillId="0" borderId="51" xfId="7" applyNumberFormat="1" applyFont="1" applyFill="1" applyBorder="1" applyAlignment="1">
      <alignment vertical="center"/>
    </xf>
    <xf numFmtId="2" fontId="19" fillId="0" borderId="51" xfId="7" applyNumberFormat="1" applyFont="1" applyFill="1" applyBorder="1" applyAlignment="1">
      <alignment vertical="center"/>
    </xf>
    <xf numFmtId="1" fontId="19" fillId="0" borderId="52" xfId="7" applyNumberFormat="1" applyFont="1" applyFill="1" applyBorder="1" applyAlignment="1">
      <alignment vertical="center"/>
    </xf>
    <xf numFmtId="2" fontId="17" fillId="0" borderId="43" xfId="7" applyNumberFormat="1" applyFont="1" applyFill="1" applyBorder="1" applyAlignment="1">
      <alignment horizontal="center" vertical="center"/>
    </xf>
    <xf numFmtId="0" fontId="17" fillId="0" borderId="16" xfId="7" applyFont="1" applyFill="1" applyBorder="1" applyAlignment="1">
      <alignment horizontal="left"/>
    </xf>
    <xf numFmtId="0" fontId="17" fillId="0" borderId="11" xfId="7" applyFont="1" applyFill="1" applyBorder="1" applyAlignment="1">
      <alignment horizontal="left"/>
    </xf>
    <xf numFmtId="0" fontId="17" fillId="0" borderId="56" xfId="7" applyFont="1" applyFill="1" applyBorder="1" applyAlignment="1">
      <alignment horizontal="left"/>
    </xf>
    <xf numFmtId="2" fontId="17" fillId="0" borderId="53" xfId="7" applyNumberFormat="1" applyFont="1" applyFill="1" applyBorder="1" applyAlignment="1">
      <alignment horizontal="center" vertical="center"/>
    </xf>
    <xf numFmtId="167" fontId="17" fillId="0" borderId="54" xfId="7" applyNumberFormat="1" applyFont="1" applyFill="1" applyBorder="1" applyAlignment="1">
      <alignment horizontal="center" vertical="center"/>
    </xf>
    <xf numFmtId="167" fontId="17" fillId="0" borderId="55" xfId="7" applyNumberFormat="1" applyFont="1" applyFill="1" applyBorder="1" applyAlignment="1">
      <alignment horizontal="center" vertical="center"/>
    </xf>
    <xf numFmtId="2" fontId="17" fillId="0" borderId="58" xfId="7" applyNumberFormat="1" applyFont="1" applyFill="1" applyBorder="1" applyAlignment="1">
      <alignment horizontal="center" vertical="center"/>
    </xf>
    <xf numFmtId="2" fontId="17" fillId="0" borderId="72" xfId="7" applyNumberFormat="1" applyFont="1" applyFill="1" applyBorder="1" applyAlignment="1">
      <alignment horizontal="center" vertical="center"/>
    </xf>
    <xf numFmtId="2" fontId="17" fillId="0" borderId="37" xfId="7" applyNumberFormat="1" applyFont="1" applyFill="1" applyBorder="1" applyAlignment="1">
      <alignment horizontal="center" vertical="center"/>
    </xf>
    <xf numFmtId="0" fontId="19" fillId="0" borderId="14" xfId="7" applyFont="1" applyFill="1" applyBorder="1" applyAlignment="1">
      <alignment horizontal="left"/>
    </xf>
    <xf numFmtId="0" fontId="17" fillId="0" borderId="13" xfId="7" applyFont="1" applyFill="1" applyBorder="1"/>
    <xf numFmtId="165" fontId="17" fillId="0" borderId="15" xfId="7" applyNumberFormat="1" applyFont="1" applyFill="1" applyBorder="1"/>
    <xf numFmtId="0" fontId="19" fillId="0" borderId="13" xfId="7" applyFont="1" applyFill="1" applyBorder="1" applyAlignment="1">
      <alignment horizontal="centerContinuous"/>
    </xf>
    <xf numFmtId="165" fontId="17" fillId="0" borderId="13" xfId="7" applyNumberFormat="1" applyFont="1" applyFill="1" applyBorder="1" applyAlignment="1">
      <alignment horizontal="centerContinuous"/>
    </xf>
    <xf numFmtId="2" fontId="17" fillId="0" borderId="13" xfId="7" applyNumberFormat="1" applyFont="1" applyFill="1" applyBorder="1"/>
    <xf numFmtId="0" fontId="17" fillId="0" borderId="13" xfId="7" applyFont="1" applyFill="1" applyBorder="1" applyAlignment="1">
      <alignment horizontal="centerContinuous"/>
    </xf>
    <xf numFmtId="0" fontId="17" fillId="0" borderId="15" xfId="7" applyFont="1" applyFill="1" applyBorder="1" applyAlignment="1">
      <alignment horizontal="centerContinuous"/>
    </xf>
    <xf numFmtId="0" fontId="17" fillId="0" borderId="16" xfId="7" applyFont="1" applyFill="1" applyBorder="1"/>
    <xf numFmtId="0" fontId="17" fillId="0" borderId="11" xfId="0" applyFont="1" applyFill="1" applyBorder="1"/>
    <xf numFmtId="0" fontId="17" fillId="0" borderId="56" xfId="7" applyFont="1" applyFill="1" applyBorder="1"/>
    <xf numFmtId="166" fontId="3" fillId="0" borderId="32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166" fontId="3" fillId="0" borderId="19" xfId="0" applyNumberFormat="1" applyFont="1" applyFill="1" applyBorder="1" applyAlignment="1">
      <alignment horizontal="center" vertical="center"/>
    </xf>
    <xf numFmtId="0" fontId="17" fillId="0" borderId="30" xfId="0" applyFont="1" applyFill="1" applyBorder="1"/>
    <xf numFmtId="166" fontId="3" fillId="0" borderId="16" xfId="0" applyNumberFormat="1" applyFont="1" applyFill="1" applyBorder="1" applyAlignment="1">
      <alignment horizontal="center" vertical="center"/>
    </xf>
    <xf numFmtId="166" fontId="3" fillId="0" borderId="20" xfId="0" applyNumberFormat="1" applyFont="1" applyFill="1" applyBorder="1" applyAlignment="1">
      <alignment horizontal="center" vertical="center"/>
    </xf>
    <xf numFmtId="2" fontId="17" fillId="0" borderId="73" xfId="7" applyNumberFormat="1" applyFont="1" applyFill="1" applyBorder="1" applyAlignment="1">
      <alignment horizontal="center"/>
    </xf>
    <xf numFmtId="0" fontId="17" fillId="0" borderId="74" xfId="7" applyFont="1" applyFill="1" applyBorder="1"/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7" fontId="3" fillId="0" borderId="14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167" fontId="3" fillId="0" borderId="15" xfId="0" applyNumberFormat="1" applyFont="1" applyFill="1" applyBorder="1" applyAlignment="1">
      <alignment horizontal="center" vertical="center"/>
    </xf>
    <xf numFmtId="166" fontId="17" fillId="0" borderId="2" xfId="7" applyNumberFormat="1" applyFont="1" applyFill="1" applyBorder="1" applyAlignment="1">
      <alignment horizontal="right"/>
    </xf>
    <xf numFmtId="166" fontId="17" fillId="0" borderId="2" xfId="7" applyNumberFormat="1" applyFont="1" applyFill="1" applyBorder="1" applyAlignment="1"/>
    <xf numFmtId="166" fontId="17" fillId="0" borderId="3" xfId="7" applyNumberFormat="1" applyFont="1" applyFill="1" applyBorder="1" applyAlignment="1">
      <alignment horizontal="left"/>
    </xf>
    <xf numFmtId="167" fontId="19" fillId="0" borderId="7" xfId="7" applyNumberFormat="1" applyFont="1" applyFill="1" applyBorder="1" applyAlignment="1">
      <alignment horizontal="center"/>
    </xf>
    <xf numFmtId="166" fontId="19" fillId="0" borderId="7" xfId="7" applyNumberFormat="1" applyFont="1" applyFill="1" applyBorder="1" applyAlignment="1">
      <alignment horizontal="center"/>
    </xf>
    <xf numFmtId="167" fontId="19" fillId="0" borderId="8" xfId="7" applyNumberFormat="1" applyFont="1" applyFill="1" applyBorder="1" applyAlignment="1">
      <alignment horizontal="center"/>
    </xf>
    <xf numFmtId="0" fontId="31" fillId="0" borderId="0" xfId="3" applyFont="1" applyFill="1" applyAlignment="1"/>
    <xf numFmtId="0" fontId="32" fillId="0" borderId="0" xfId="7" applyFont="1" applyFill="1"/>
    <xf numFmtId="0" fontId="32" fillId="0" borderId="0" xfId="2" applyFont="1" applyFill="1"/>
    <xf numFmtId="2" fontId="32" fillId="0" borderId="0" xfId="2" applyNumberFormat="1" applyFont="1" applyFill="1"/>
    <xf numFmtId="0" fontId="0" fillId="0" borderId="0" xfId="7" applyFont="1" applyFill="1" applyAlignment="1">
      <alignment horizontal="right"/>
    </xf>
    <xf numFmtId="0" fontId="4" fillId="0" borderId="0" xfId="0" applyFont="1" applyFill="1" applyBorder="1"/>
    <xf numFmtId="14" fontId="4" fillId="0" borderId="0" xfId="0" applyNumberFormat="1" applyFont="1" applyFill="1" applyBorder="1"/>
    <xf numFmtId="167" fontId="4" fillId="0" borderId="0" xfId="0" applyNumberFormat="1" applyFont="1" applyFill="1" applyAlignment="1">
      <alignment horizontal="center" vertical="center"/>
    </xf>
    <xf numFmtId="0" fontId="4" fillId="0" borderId="44" xfId="0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4" fillId="0" borderId="46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175" fontId="2" fillId="0" borderId="0" xfId="10" applyNumberFormat="1" applyFont="1" applyFill="1"/>
    <xf numFmtId="0" fontId="4" fillId="0" borderId="22" xfId="0" applyFont="1" applyFill="1" applyBorder="1" applyAlignment="1">
      <alignment horizontal="center"/>
    </xf>
    <xf numFmtId="0" fontId="4" fillId="0" borderId="51" xfId="0" applyFont="1" applyFill="1" applyBorder="1" applyAlignment="1">
      <alignment horizontal="center"/>
    </xf>
    <xf numFmtId="0" fontId="4" fillId="0" borderId="52" xfId="0" applyFont="1" applyFill="1" applyBorder="1" applyAlignment="1">
      <alignment horizontal="center"/>
    </xf>
    <xf numFmtId="165" fontId="4" fillId="0" borderId="32" xfId="1" applyNumberFormat="1" applyFont="1" applyFill="1" applyBorder="1" applyAlignment="1"/>
    <xf numFmtId="165" fontId="4" fillId="0" borderId="31" xfId="1" applyNumberFormat="1" applyFont="1" applyFill="1" applyBorder="1" applyAlignment="1">
      <alignment horizontal="center"/>
    </xf>
    <xf numFmtId="165" fontId="4" fillId="0" borderId="19" xfId="1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left"/>
    </xf>
    <xf numFmtId="165" fontId="4" fillId="0" borderId="27" xfId="1" applyNumberFormat="1" applyFont="1" applyFill="1" applyBorder="1" applyAlignment="1"/>
    <xf numFmtId="165" fontId="4" fillId="0" borderId="36" xfId="1" applyNumberFormat="1" applyFont="1" applyFill="1" applyBorder="1" applyAlignment="1">
      <alignment horizontal="center"/>
    </xf>
    <xf numFmtId="165" fontId="4" fillId="0" borderId="21" xfId="1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left"/>
    </xf>
    <xf numFmtId="0" fontId="4" fillId="0" borderId="14" xfId="1" applyFont="1" applyFill="1" applyBorder="1" applyAlignment="1"/>
    <xf numFmtId="0" fontId="4" fillId="0" borderId="13" xfId="1" applyFont="1" applyFill="1" applyBorder="1" applyAlignment="1">
      <alignment horizontal="center"/>
    </xf>
    <xf numFmtId="0" fontId="4" fillId="0" borderId="15" xfId="1" applyFont="1" applyFill="1" applyBorder="1" applyAlignment="1"/>
    <xf numFmtId="165" fontId="2" fillId="0" borderId="27" xfId="1" applyNumberFormat="1" applyFill="1" applyBorder="1" applyAlignment="1"/>
    <xf numFmtId="165" fontId="2" fillId="0" borderId="36" xfId="1" applyNumberFormat="1" applyFill="1" applyBorder="1" applyAlignment="1">
      <alignment horizontal="center"/>
    </xf>
    <xf numFmtId="165" fontId="2" fillId="0" borderId="21" xfId="1" applyNumberFormat="1" applyFill="1" applyBorder="1" applyAlignment="1">
      <alignment horizontal="center"/>
    </xf>
    <xf numFmtId="176" fontId="2" fillId="0" borderId="0" xfId="10" applyNumberFormat="1" applyFont="1" applyFill="1"/>
    <xf numFmtId="1" fontId="4" fillId="0" borderId="61" xfId="0" applyNumberFormat="1" applyFont="1" applyFill="1" applyBorder="1" applyAlignment="1">
      <alignment horizontal="center"/>
    </xf>
    <xf numFmtId="167" fontId="4" fillId="0" borderId="20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2" xfId="0" applyFont="1" applyFill="1" applyBorder="1"/>
    <xf numFmtId="2" fontId="4" fillId="0" borderId="3" xfId="0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horizontal="right"/>
    </xf>
    <xf numFmtId="167" fontId="4" fillId="0" borderId="2" xfId="0" applyNumberFormat="1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2" fontId="4" fillId="0" borderId="8" xfId="0" applyNumberFormat="1" applyFont="1" applyFill="1" applyBorder="1" applyAlignment="1">
      <alignment horizontal="left"/>
    </xf>
    <xf numFmtId="0" fontId="3" fillId="0" borderId="7" xfId="0" applyFont="1" applyFill="1" applyBorder="1" applyAlignment="1">
      <alignment horizontal="right"/>
    </xf>
    <xf numFmtId="0" fontId="5" fillId="0" borderId="44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2" fontId="4" fillId="0" borderId="0" xfId="0" applyNumberFormat="1" applyFont="1" applyFill="1" applyAlignment="1">
      <alignment vertical="center"/>
    </xf>
    <xf numFmtId="0" fontId="4" fillId="0" borderId="28" xfId="0" applyFont="1" applyFill="1" applyBorder="1" applyAlignment="1">
      <alignment vertical="center"/>
    </xf>
    <xf numFmtId="0" fontId="4" fillId="0" borderId="29" xfId="0" applyFont="1" applyFill="1" applyBorder="1" applyAlignment="1">
      <alignment vertical="center"/>
    </xf>
    <xf numFmtId="0" fontId="4" fillId="0" borderId="32" xfId="0" applyFont="1" applyFill="1" applyBorder="1"/>
    <xf numFmtId="0" fontId="4" fillId="0" borderId="31" xfId="0" applyFont="1" applyFill="1" applyBorder="1" applyAlignment="1">
      <alignment horizontal="center" wrapText="1"/>
    </xf>
    <xf numFmtId="0" fontId="5" fillId="0" borderId="19" xfId="0" applyFont="1" applyFill="1" applyBorder="1"/>
    <xf numFmtId="168" fontId="35" fillId="0" borderId="24" xfId="10" applyNumberFormat="1" applyFont="1" applyFill="1" applyBorder="1" applyAlignment="1">
      <alignment horizontal="center" vertical="center"/>
    </xf>
    <xf numFmtId="168" fontId="35" fillId="0" borderId="19" xfId="10" applyNumberFormat="1" applyFont="1" applyFill="1" applyBorder="1" applyAlignment="1">
      <alignment horizontal="center" vertical="center"/>
    </xf>
    <xf numFmtId="0" fontId="4" fillId="0" borderId="33" xfId="0" applyFont="1" applyFill="1" applyBorder="1" applyAlignment="1"/>
    <xf numFmtId="0" fontId="5" fillId="0" borderId="30" xfId="0" applyFont="1" applyFill="1" applyBorder="1"/>
    <xf numFmtId="0" fontId="4" fillId="0" borderId="20" xfId="0" applyFont="1" applyFill="1" applyBorder="1"/>
    <xf numFmtId="168" fontId="35" fillId="0" borderId="17" xfId="10" applyNumberFormat="1" applyFont="1" applyFill="1" applyBorder="1" applyAlignment="1">
      <alignment horizontal="center" vertical="center"/>
    </xf>
    <xf numFmtId="168" fontId="35" fillId="0" borderId="18" xfId="10" applyNumberFormat="1" applyFont="1" applyFill="1" applyBorder="1" applyAlignment="1">
      <alignment horizontal="center" vertical="center"/>
    </xf>
    <xf numFmtId="168" fontId="35" fillId="0" borderId="53" xfId="10" applyNumberFormat="1" applyFont="1" applyFill="1" applyBorder="1" applyAlignment="1">
      <alignment horizontal="center" vertical="center"/>
    </xf>
    <xf numFmtId="168" fontId="35" fillId="0" borderId="56" xfId="10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Continuous"/>
    </xf>
    <xf numFmtId="0" fontId="4" fillId="0" borderId="13" xfId="0" applyFont="1" applyFill="1" applyBorder="1" applyAlignment="1">
      <alignment horizontal="centerContinuous"/>
    </xf>
    <xf numFmtId="0" fontId="4" fillId="0" borderId="15" xfId="0" applyFont="1" applyFill="1" applyBorder="1"/>
    <xf numFmtId="0" fontId="4" fillId="0" borderId="26" xfId="0" applyFont="1" applyFill="1" applyBorder="1"/>
    <xf numFmtId="0" fontId="4" fillId="0" borderId="31" xfId="0" applyFont="1" applyFill="1" applyBorder="1"/>
    <xf numFmtId="0" fontId="4" fillId="0" borderId="19" xfId="0" applyFont="1" applyFill="1" applyBorder="1"/>
    <xf numFmtId="0" fontId="4" fillId="0" borderId="9" xfId="0" applyFont="1" applyFill="1" applyBorder="1"/>
    <xf numFmtId="0" fontId="4" fillId="0" borderId="33" xfId="0" applyFont="1" applyFill="1" applyBorder="1"/>
    <xf numFmtId="0" fontId="4" fillId="0" borderId="30" xfId="0" applyFont="1" applyFill="1" applyBorder="1"/>
    <xf numFmtId="0" fontId="4" fillId="0" borderId="11" xfId="0" applyFont="1" applyFill="1" applyBorder="1"/>
    <xf numFmtId="0" fontId="4" fillId="0" borderId="56" xfId="0" applyFont="1" applyFill="1" applyBorder="1"/>
    <xf numFmtId="0" fontId="3" fillId="0" borderId="34" xfId="0" applyFont="1" applyFill="1" applyBorder="1"/>
    <xf numFmtId="0" fontId="3" fillId="0" borderId="35" xfId="0" applyFont="1" applyFill="1" applyBorder="1" applyAlignment="1">
      <alignment horizontal="centerContinuous"/>
    </xf>
    <xf numFmtId="0" fontId="3" fillId="0" borderId="0" xfId="0" applyFont="1" applyFill="1" applyBorder="1"/>
    <xf numFmtId="0" fontId="4" fillId="0" borderId="5" xfId="0" applyFont="1" applyFill="1" applyBorder="1"/>
    <xf numFmtId="0" fontId="4" fillId="0" borderId="10" xfId="0" applyFont="1" applyFill="1" applyBorder="1"/>
    <xf numFmtId="0" fontId="4" fillId="0" borderId="9" xfId="0" applyFont="1" applyFill="1" applyBorder="1" applyAlignment="1"/>
    <xf numFmtId="171" fontId="3" fillId="0" borderId="16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167" fontId="3" fillId="0" borderId="4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167" fontId="3" fillId="0" borderId="5" xfId="0" applyNumberFormat="1" applyFont="1" applyFill="1" applyBorder="1" applyAlignment="1">
      <alignment horizontal="center" vertical="center"/>
    </xf>
    <xf numFmtId="0" fontId="5" fillId="0" borderId="4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 vertical="center"/>
    </xf>
    <xf numFmtId="0" fontId="5" fillId="0" borderId="6" xfId="0" applyFont="1" applyFill="1" applyBorder="1"/>
    <xf numFmtId="0" fontId="5" fillId="0" borderId="7" xfId="0" applyFont="1" applyFill="1" applyBorder="1"/>
    <xf numFmtId="0" fontId="5" fillId="0" borderId="7" xfId="0" applyFont="1" applyFill="1" applyBorder="1" applyAlignment="1">
      <alignment horizontal="center"/>
    </xf>
    <xf numFmtId="2" fontId="5" fillId="0" borderId="6" xfId="0" applyNumberFormat="1" applyFont="1" applyFill="1" applyBorder="1" applyAlignment="1">
      <alignment horizontal="center" vertical="center"/>
    </xf>
    <xf numFmtId="2" fontId="5" fillId="0" borderId="7" xfId="0" applyNumberFormat="1" applyFont="1" applyFill="1" applyBorder="1" applyAlignment="1">
      <alignment horizontal="center" vertical="center"/>
    </xf>
    <xf numFmtId="2" fontId="5" fillId="0" borderId="8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horizontal="right"/>
    </xf>
    <xf numFmtId="167" fontId="0" fillId="0" borderId="0" xfId="0" applyNumberFormat="1" applyFill="1" applyBorder="1"/>
    <xf numFmtId="0" fontId="0" fillId="0" borderId="0" xfId="0" applyFill="1" applyAlignment="1">
      <alignment vertical="center"/>
    </xf>
    <xf numFmtId="0" fontId="3" fillId="0" borderId="44" xfId="0" applyFont="1" applyFill="1" applyBorder="1" applyAlignment="1">
      <alignment horizontal="center"/>
    </xf>
    <xf numFmtId="0" fontId="3" fillId="0" borderId="45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/>
    </xf>
    <xf numFmtId="165" fontId="0" fillId="0" borderId="32" xfId="1" applyNumberFormat="1" applyFont="1" applyFill="1" applyBorder="1" applyAlignment="1"/>
    <xf numFmtId="165" fontId="0" fillId="0" borderId="31" xfId="1" applyNumberFormat="1" applyFont="1" applyFill="1" applyBorder="1" applyAlignment="1">
      <alignment horizontal="center"/>
    </xf>
    <xf numFmtId="165" fontId="0" fillId="0" borderId="19" xfId="1" applyNumberFormat="1" applyFont="1" applyFill="1" applyBorder="1" applyAlignment="1">
      <alignment horizontal="center"/>
    </xf>
    <xf numFmtId="2" fontId="0" fillId="0" borderId="0" xfId="0" applyNumberFormat="1" applyFont="1" applyFill="1"/>
    <xf numFmtId="0" fontId="0" fillId="0" borderId="0" xfId="0" applyFont="1" applyFill="1"/>
    <xf numFmtId="165" fontId="0" fillId="0" borderId="33" xfId="1" applyNumberFormat="1" applyFont="1" applyFill="1" applyBorder="1" applyAlignment="1"/>
    <xf numFmtId="165" fontId="0" fillId="0" borderId="30" xfId="1" applyNumberFormat="1" applyFont="1" applyFill="1" applyBorder="1" applyAlignment="1">
      <alignment horizontal="center"/>
    </xf>
    <xf numFmtId="165" fontId="0" fillId="0" borderId="20" xfId="1" applyNumberFormat="1" applyFont="1" applyFill="1" applyBorder="1" applyAlignment="1">
      <alignment horizontal="center"/>
    </xf>
    <xf numFmtId="0" fontId="0" fillId="0" borderId="27" xfId="0" applyFill="1" applyBorder="1" applyAlignment="1"/>
    <xf numFmtId="0" fontId="2" fillId="0" borderId="14" xfId="1" applyFill="1" applyBorder="1" applyAlignment="1"/>
    <xf numFmtId="0" fontId="2" fillId="0" borderId="13" xfId="1" applyFill="1" applyBorder="1" applyAlignment="1">
      <alignment horizontal="center"/>
    </xf>
    <xf numFmtId="0" fontId="2" fillId="0" borderId="15" xfId="1" applyFill="1" applyBorder="1" applyAlignment="1"/>
    <xf numFmtId="167" fontId="0" fillId="0" borderId="17" xfId="0" applyNumberFormat="1" applyFill="1" applyBorder="1" applyAlignment="1">
      <alignment horizontal="center" vertical="center"/>
    </xf>
    <xf numFmtId="167" fontId="2" fillId="0" borderId="27" xfId="1" applyNumberFormat="1" applyFill="1" applyBorder="1" applyAlignment="1"/>
    <xf numFmtId="165" fontId="2" fillId="0" borderId="36" xfId="1" applyNumberFormat="1" applyFill="1" applyBorder="1" applyAlignment="1">
      <alignment horizontal="center" vertical="center"/>
    </xf>
    <xf numFmtId="165" fontId="2" fillId="0" borderId="21" xfId="1" applyNumberFormat="1" applyFill="1" applyBorder="1" applyAlignment="1">
      <alignment horizontal="center" vertical="center"/>
    </xf>
    <xf numFmtId="1" fontId="0" fillId="0" borderId="61" xfId="0" applyNumberFormat="1" applyFill="1" applyBorder="1" applyAlignment="1">
      <alignment horizontal="center"/>
    </xf>
    <xf numFmtId="167" fontId="0" fillId="0" borderId="28" xfId="0" applyNumberFormat="1" applyFill="1" applyBorder="1" applyAlignment="1">
      <alignment horizontal="center"/>
    </xf>
    <xf numFmtId="167" fontId="0" fillId="0" borderId="29" xfId="0" applyNumberFormat="1" applyFill="1" applyBorder="1" applyAlignment="1">
      <alignment horizontal="center"/>
    </xf>
    <xf numFmtId="2" fontId="0" fillId="0" borderId="3" xfId="0" applyNumberForma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2" fontId="0" fillId="0" borderId="2" xfId="0" applyNumberFormat="1" applyFill="1" applyBorder="1" applyAlignment="1">
      <alignment horizontal="left"/>
    </xf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7" xfId="0" applyFill="1" applyBorder="1"/>
    <xf numFmtId="2" fontId="0" fillId="0" borderId="8" xfId="0" applyNumberForma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0" fillId="0" borderId="6" xfId="0" applyFill="1" applyBorder="1"/>
    <xf numFmtId="0" fontId="0" fillId="0" borderId="8" xfId="0" applyFill="1" applyBorder="1"/>
    <xf numFmtId="0" fontId="3" fillId="0" borderId="22" xfId="0" applyFont="1" applyFill="1" applyBorder="1"/>
    <xf numFmtId="0" fontId="3" fillId="0" borderId="51" xfId="0" applyFont="1" applyFill="1" applyBorder="1"/>
    <xf numFmtId="0" fontId="3" fillId="0" borderId="52" xfId="0" applyFont="1" applyFill="1" applyBorder="1"/>
    <xf numFmtId="171" fontId="0" fillId="0" borderId="0" xfId="0" applyNumberFormat="1" applyFont="1" applyFill="1"/>
    <xf numFmtId="171" fontId="0" fillId="0" borderId="0" xfId="0" applyNumberFormat="1" applyFill="1"/>
    <xf numFmtId="0" fontId="35" fillId="0" borderId="32" xfId="0" applyFont="1" applyFill="1" applyBorder="1"/>
    <xf numFmtId="0" fontId="35" fillId="0" borderId="31" xfId="0" applyFont="1" applyFill="1" applyBorder="1" applyAlignment="1">
      <alignment horizontal="center" wrapText="1"/>
    </xf>
    <xf numFmtId="0" fontId="36" fillId="0" borderId="19" xfId="0" applyFont="1" applyFill="1" applyBorder="1"/>
    <xf numFmtId="164" fontId="35" fillId="0" borderId="53" xfId="10" applyFont="1" applyFill="1" applyBorder="1" applyAlignment="1">
      <alignment horizontal="center" vertical="center"/>
    </xf>
    <xf numFmtId="164" fontId="35" fillId="0" borderId="55" xfId="10" applyFont="1" applyFill="1" applyBorder="1" applyAlignment="1">
      <alignment horizontal="center" vertical="center"/>
    </xf>
    <xf numFmtId="168" fontId="35" fillId="0" borderId="23" xfId="10" applyNumberFormat="1" applyFont="1" applyFill="1" applyBorder="1" applyAlignment="1">
      <alignment horizontal="center" vertical="center"/>
    </xf>
    <xf numFmtId="168" fontId="35" fillId="0" borderId="43" xfId="10" applyNumberFormat="1" applyFont="1" applyFill="1" applyBorder="1" applyAlignment="1">
      <alignment horizontal="center" vertical="center"/>
    </xf>
    <xf numFmtId="168" fontId="35" fillId="0" borderId="48" xfId="10" applyNumberFormat="1" applyFont="1" applyFill="1" applyBorder="1" applyAlignment="1">
      <alignment horizontal="center" vertical="center"/>
    </xf>
    <xf numFmtId="168" fontId="35" fillId="0" borderId="30" xfId="10" applyNumberFormat="1" applyFont="1" applyFill="1" applyBorder="1" applyAlignment="1">
      <alignment horizontal="center" vertical="center"/>
    </xf>
    <xf numFmtId="171" fontId="35" fillId="0" borderId="48" xfId="10" applyNumberFormat="1" applyFont="1" applyFill="1" applyBorder="1" applyAlignment="1">
      <alignment horizontal="center" vertical="center"/>
    </xf>
    <xf numFmtId="171" fontId="35" fillId="0" borderId="17" xfId="10" applyNumberFormat="1" applyFont="1" applyFill="1" applyBorder="1" applyAlignment="1">
      <alignment horizontal="center" vertical="center"/>
    </xf>
    <xf numFmtId="164" fontId="35" fillId="0" borderId="17" xfId="10" applyFont="1" applyFill="1" applyBorder="1" applyAlignment="1">
      <alignment horizontal="center" vertical="center"/>
    </xf>
    <xf numFmtId="0" fontId="35" fillId="0" borderId="0" xfId="0" applyFont="1" applyFill="1"/>
    <xf numFmtId="0" fontId="0" fillId="0" borderId="33" xfId="0" applyFill="1" applyBorder="1" applyAlignment="1"/>
    <xf numFmtId="0" fontId="0" fillId="0" borderId="20" xfId="0" applyFill="1" applyBorder="1"/>
    <xf numFmtId="2" fontId="0" fillId="0" borderId="17" xfId="0" applyNumberFormat="1" applyFill="1" applyBorder="1"/>
    <xf numFmtId="1" fontId="0" fillId="0" borderId="17" xfId="0" applyNumberFormat="1" applyFill="1" applyBorder="1"/>
    <xf numFmtId="1" fontId="0" fillId="0" borderId="18" xfId="0" applyNumberFormat="1" applyFill="1" applyBorder="1"/>
    <xf numFmtId="164" fontId="2" fillId="0" borderId="12" xfId="10" applyFont="1" applyFill="1" applyBorder="1" applyAlignment="1">
      <alignment horizontal="center" vertical="center"/>
    </xf>
    <xf numFmtId="168" fontId="35" fillId="0" borderId="20" xfId="10" applyNumberFormat="1" applyFont="1" applyFill="1" applyBorder="1" applyAlignment="1">
      <alignment horizontal="center" vertical="center"/>
    </xf>
    <xf numFmtId="164" fontId="2" fillId="0" borderId="48" xfId="10" applyFont="1" applyFill="1" applyBorder="1" applyAlignment="1">
      <alignment horizontal="center" vertical="center"/>
    </xf>
    <xf numFmtId="171" fontId="2" fillId="0" borderId="0" xfId="10" applyNumberFormat="1" applyFont="1" applyFill="1"/>
    <xf numFmtId="0" fontId="35" fillId="0" borderId="33" xfId="0" applyFont="1" applyFill="1" applyBorder="1" applyAlignment="1"/>
    <xf numFmtId="0" fontId="35" fillId="0" borderId="30" xfId="0" applyFont="1" applyFill="1" applyBorder="1"/>
    <xf numFmtId="0" fontId="35" fillId="0" borderId="20" xfId="0" applyFont="1" applyFill="1" applyBorder="1"/>
    <xf numFmtId="2" fontId="35" fillId="0" borderId="17" xfId="0" applyNumberFormat="1" applyFont="1" applyFill="1" applyBorder="1"/>
    <xf numFmtId="1" fontId="35" fillId="0" borderId="17" xfId="0" applyNumberFormat="1" applyFont="1" applyFill="1" applyBorder="1"/>
    <xf numFmtId="1" fontId="35" fillId="0" borderId="60" xfId="0" applyNumberFormat="1" applyFont="1" applyFill="1" applyBorder="1"/>
    <xf numFmtId="168" fontId="35" fillId="0" borderId="22" xfId="10" applyNumberFormat="1" applyFont="1" applyFill="1" applyBorder="1" applyAlignment="1">
      <alignment horizontal="center" vertical="center"/>
    </xf>
    <xf numFmtId="168" fontId="35" fillId="0" borderId="71" xfId="10" applyNumberFormat="1" applyFont="1" applyFill="1" applyBorder="1" applyAlignment="1">
      <alignment horizontal="center" vertical="center"/>
    </xf>
    <xf numFmtId="168" fontId="35" fillId="0" borderId="21" xfId="10" applyNumberFormat="1" applyFont="1" applyFill="1" applyBorder="1" applyAlignment="1">
      <alignment horizontal="center" vertical="center"/>
    </xf>
    <xf numFmtId="171" fontId="35" fillId="0" borderId="0" xfId="10" applyNumberFormat="1" applyFont="1" applyFill="1"/>
    <xf numFmtId="0" fontId="3" fillId="0" borderId="13" xfId="0" applyFont="1" applyFill="1" applyBorder="1" applyAlignment="1">
      <alignment horizontal="centerContinuous"/>
    </xf>
    <xf numFmtId="0" fontId="0" fillId="0" borderId="15" xfId="0" applyFill="1" applyBorder="1"/>
    <xf numFmtId="0" fontId="0" fillId="0" borderId="26" xfId="0" applyFill="1" applyBorder="1"/>
    <xf numFmtId="0" fontId="3" fillId="0" borderId="32" xfId="0" applyFont="1" applyFill="1" applyBorder="1"/>
    <xf numFmtId="0" fontId="0" fillId="0" borderId="31" xfId="0" applyFill="1" applyBorder="1"/>
    <xf numFmtId="0" fontId="2" fillId="0" borderId="31" xfId="0" applyFont="1" applyFill="1" applyBorder="1"/>
    <xf numFmtId="166" fontId="3" fillId="0" borderId="32" xfId="0" applyNumberFormat="1" applyFont="1" applyFill="1" applyBorder="1" applyAlignment="1">
      <alignment horizontal="right"/>
    </xf>
    <xf numFmtId="49" fontId="0" fillId="0" borderId="11" xfId="0" applyNumberFormat="1" applyFill="1" applyBorder="1" applyAlignment="1">
      <alignment horizontal="center"/>
    </xf>
    <xf numFmtId="171" fontId="3" fillId="0" borderId="19" xfId="0" applyNumberFormat="1" applyFont="1" applyFill="1" applyBorder="1" applyAlignment="1">
      <alignment horizontal="left"/>
    </xf>
    <xf numFmtId="0" fontId="0" fillId="0" borderId="9" xfId="0" applyFill="1" applyBorder="1"/>
    <xf numFmtId="0" fontId="3" fillId="0" borderId="33" xfId="0" applyFont="1" applyFill="1" applyBorder="1"/>
    <xf numFmtId="0" fontId="0" fillId="0" borderId="30" xfId="0" applyFill="1" applyBorder="1"/>
    <xf numFmtId="0" fontId="0" fillId="0" borderId="11" xfId="0" applyFill="1" applyBorder="1"/>
    <xf numFmtId="0" fontId="3" fillId="0" borderId="11" xfId="0" applyFont="1" applyFill="1" applyBorder="1"/>
    <xf numFmtId="171" fontId="3" fillId="0" borderId="16" xfId="0" applyNumberFormat="1" applyFont="1" applyFill="1" applyBorder="1" applyAlignment="1">
      <alignment horizontal="right"/>
    </xf>
    <xf numFmtId="166" fontId="3" fillId="0" borderId="20" xfId="0" applyNumberFormat="1" applyFont="1" applyFill="1" applyBorder="1" applyAlignment="1">
      <alignment horizontal="left"/>
    </xf>
    <xf numFmtId="0" fontId="2" fillId="0" borderId="9" xfId="0" applyFont="1" applyFill="1" applyBorder="1"/>
    <xf numFmtId="0" fontId="3" fillId="0" borderId="4" xfId="0" applyFont="1" applyFill="1" applyBorder="1" applyAlignment="1">
      <alignment horizontal="right"/>
    </xf>
    <xf numFmtId="0" fontId="0" fillId="0" borderId="0" xfId="0" applyFill="1" applyBorder="1" applyAlignment="1">
      <alignment horizontal="centerContinuous"/>
    </xf>
    <xf numFmtId="0" fontId="0" fillId="0" borderId="5" xfId="0" applyFill="1" applyBorder="1" applyAlignment="1">
      <alignment horizontal="left"/>
    </xf>
    <xf numFmtId="0" fontId="2" fillId="0" borderId="10" xfId="0" applyFont="1" applyFill="1" applyBorder="1"/>
    <xf numFmtId="167" fontId="3" fillId="0" borderId="14" xfId="0" applyNumberFormat="1" applyFont="1" applyFill="1" applyBorder="1" applyAlignment="1">
      <alignment horizontal="right"/>
    </xf>
    <xf numFmtId="49" fontId="0" fillId="0" borderId="13" xfId="0" applyNumberFormat="1" applyFill="1" applyBorder="1" applyAlignment="1">
      <alignment horizontal="center"/>
    </xf>
    <xf numFmtId="167" fontId="3" fillId="0" borderId="15" xfId="0" applyNumberFormat="1" applyFont="1" applyFill="1" applyBorder="1" applyAlignment="1">
      <alignment horizontal="left"/>
    </xf>
    <xf numFmtId="0" fontId="2" fillId="0" borderId="26" xfId="0" applyFont="1" applyFill="1" applyBorder="1"/>
    <xf numFmtId="166" fontId="3" fillId="0" borderId="19" xfId="0" applyNumberFormat="1" applyFont="1" applyFill="1" applyBorder="1" applyAlignment="1">
      <alignment horizontal="left"/>
    </xf>
    <xf numFmtId="171" fontId="0" fillId="0" borderId="11" xfId="0" applyNumberFormat="1" applyFill="1" applyBorder="1" applyAlignment="1">
      <alignment horizontal="center"/>
    </xf>
    <xf numFmtId="171" fontId="3" fillId="0" borderId="20" xfId="0" applyNumberFormat="1" applyFont="1" applyFill="1" applyBorder="1" applyAlignment="1">
      <alignment horizontal="left"/>
    </xf>
    <xf numFmtId="0" fontId="3" fillId="0" borderId="9" xfId="0" applyFont="1" applyFill="1" applyBorder="1" applyAlignment="1"/>
    <xf numFmtId="167" fontId="3" fillId="0" borderId="4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/>
    <xf numFmtId="167" fontId="3" fillId="0" borderId="5" xfId="0" applyNumberFormat="1" applyFont="1" applyFill="1" applyBorder="1" applyAlignment="1">
      <alignment horizontal="left"/>
    </xf>
    <xf numFmtId="0" fontId="0" fillId="0" borderId="10" xfId="0" applyFill="1" applyBorder="1"/>
    <xf numFmtId="0" fontId="6" fillId="0" borderId="0" xfId="0" applyFont="1" applyFill="1" applyBorder="1"/>
    <xf numFmtId="0" fontId="3" fillId="0" borderId="1" xfId="0" applyFont="1" applyFill="1" applyBorder="1" applyAlignment="1">
      <alignment horizontal="right"/>
    </xf>
    <xf numFmtId="1" fontId="3" fillId="0" borderId="2" xfId="0" applyNumberFormat="1" applyFont="1" applyFill="1" applyBorder="1" applyAlignment="1"/>
    <xf numFmtId="0" fontId="3" fillId="0" borderId="3" xfId="0" applyFont="1" applyFill="1" applyBorder="1" applyAlignment="1">
      <alignment horizontal="left"/>
    </xf>
    <xf numFmtId="2" fontId="5" fillId="0" borderId="6" xfId="0" applyNumberFormat="1" applyFont="1" applyFill="1" applyBorder="1" applyAlignment="1">
      <alignment horizontal="right"/>
    </xf>
    <xf numFmtId="2" fontId="7" fillId="0" borderId="7" xfId="0" applyNumberFormat="1" applyFont="1" applyFill="1" applyBorder="1" applyAlignment="1">
      <alignment horizontal="center"/>
    </xf>
    <xf numFmtId="2" fontId="5" fillId="0" borderId="8" xfId="0" applyNumberFormat="1" applyFont="1" applyFill="1" applyBorder="1" applyAlignment="1">
      <alignment horizontal="left"/>
    </xf>
    <xf numFmtId="0" fontId="0" fillId="0" borderId="0" xfId="0" applyFill="1" applyAlignment="1">
      <alignment horizontal="right"/>
    </xf>
    <xf numFmtId="167" fontId="0" fillId="0" borderId="0" xfId="10" applyNumberFormat="1" applyFont="1" applyFill="1"/>
    <xf numFmtId="167" fontId="0" fillId="0" borderId="0" xfId="10" applyNumberFormat="1" applyFont="1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 vertical="center"/>
    </xf>
    <xf numFmtId="167" fontId="0" fillId="0" borderId="0" xfId="0" applyNumberFormat="1" applyFill="1" applyAlignment="1">
      <alignment vertical="center"/>
    </xf>
    <xf numFmtId="0" fontId="3" fillId="0" borderId="37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168" fontId="0" fillId="0" borderId="0" xfId="10" applyNumberFormat="1" applyFont="1" applyFill="1"/>
    <xf numFmtId="1" fontId="2" fillId="0" borderId="32" xfId="1" applyNumberFormat="1" applyFont="1" applyFill="1" applyBorder="1" applyAlignment="1"/>
    <xf numFmtId="165" fontId="2" fillId="0" borderId="31" xfId="1" applyNumberFormat="1" applyFont="1" applyFill="1" applyBorder="1" applyAlignment="1">
      <alignment horizontal="center"/>
    </xf>
    <xf numFmtId="165" fontId="2" fillId="0" borderId="19" xfId="1" applyNumberFormat="1" applyFont="1" applyFill="1" applyBorder="1" applyAlignment="1">
      <alignment horizontal="center"/>
    </xf>
    <xf numFmtId="165" fontId="2" fillId="0" borderId="33" xfId="1" applyNumberFormat="1" applyFill="1" applyBorder="1" applyAlignment="1"/>
    <xf numFmtId="165" fontId="2" fillId="0" borderId="30" xfId="1" applyNumberFormat="1" applyFill="1" applyBorder="1" applyAlignment="1">
      <alignment horizontal="center"/>
    </xf>
    <xf numFmtId="165" fontId="2" fillId="0" borderId="20" xfId="1" applyNumberFormat="1" applyFill="1" applyBorder="1" applyAlignment="1">
      <alignment horizontal="center"/>
    </xf>
    <xf numFmtId="165" fontId="0" fillId="0" borderId="27" xfId="0" applyNumberFormat="1" applyFill="1" applyBorder="1" applyAlignment="1"/>
    <xf numFmtId="165" fontId="0" fillId="0" borderId="36" xfId="0" applyNumberFormat="1" applyFill="1" applyBorder="1" applyAlignment="1">
      <alignment horizontal="center"/>
    </xf>
    <xf numFmtId="165" fontId="0" fillId="0" borderId="21" xfId="0" applyNumberFormat="1" applyFill="1" applyBorder="1" applyAlignment="1">
      <alignment horizontal="center"/>
    </xf>
    <xf numFmtId="0" fontId="4" fillId="0" borderId="23" xfId="0" applyFont="1" applyFill="1" applyBorder="1" applyAlignment="1">
      <alignment horizontal="right"/>
    </xf>
    <xf numFmtId="0" fontId="4" fillId="0" borderId="24" xfId="0" applyFont="1" applyFill="1" applyBorder="1" applyAlignment="1">
      <alignment horizontal="right"/>
    </xf>
    <xf numFmtId="0" fontId="4" fillId="0" borderId="25" xfId="0" applyFont="1" applyFill="1" applyBorder="1" applyAlignment="1">
      <alignment horizontal="right"/>
    </xf>
    <xf numFmtId="1" fontId="0" fillId="0" borderId="34" xfId="0" applyNumberFormat="1" applyFill="1" applyBorder="1" applyAlignment="1">
      <alignment horizontal="center"/>
    </xf>
    <xf numFmtId="167" fontId="0" fillId="0" borderId="63" xfId="0" applyNumberFormat="1" applyFill="1" applyBorder="1" applyAlignment="1">
      <alignment horizontal="center"/>
    </xf>
    <xf numFmtId="0" fontId="37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37" fillId="0" borderId="7" xfId="0" applyFont="1" applyFill="1" applyBorder="1"/>
    <xf numFmtId="0" fontId="3" fillId="0" borderId="6" xfId="0" applyFont="1" applyFill="1" applyBorder="1" applyAlignment="1">
      <alignment horizontal="left"/>
    </xf>
    <xf numFmtId="0" fontId="3" fillId="0" borderId="43" xfId="0" applyFont="1" applyFill="1" applyBorder="1"/>
    <xf numFmtId="0" fontId="3" fillId="0" borderId="24" xfId="0" applyFont="1" applyFill="1" applyBorder="1"/>
    <xf numFmtId="0" fontId="3" fillId="0" borderId="25" xfId="0" applyFont="1" applyFill="1" applyBorder="1"/>
    <xf numFmtId="1" fontId="1" fillId="0" borderId="23" xfId="0" applyNumberFormat="1" applyFont="1" applyFill="1" applyBorder="1" applyAlignment="1">
      <alignment horizontal="center"/>
    </xf>
    <xf numFmtId="167" fontId="1" fillId="0" borderId="24" xfId="0" applyNumberFormat="1" applyFont="1" applyFill="1" applyBorder="1" applyAlignment="1">
      <alignment horizontal="center"/>
    </xf>
    <xf numFmtId="2" fontId="0" fillId="0" borderId="48" xfId="0" applyNumberFormat="1" applyFill="1" applyBorder="1"/>
    <xf numFmtId="2" fontId="0" fillId="0" borderId="53" xfId="0" applyNumberFormat="1" applyFill="1" applyBorder="1"/>
    <xf numFmtId="1" fontId="0" fillId="0" borderId="54" xfId="0" applyNumberFormat="1" applyFill="1" applyBorder="1"/>
    <xf numFmtId="2" fontId="0" fillId="0" borderId="54" xfId="0" applyNumberFormat="1" applyFill="1" applyBorder="1"/>
    <xf numFmtId="1" fontId="0" fillId="0" borderId="55" xfId="0" applyNumberFormat="1" applyFill="1" applyBorder="1"/>
    <xf numFmtId="165" fontId="0" fillId="0" borderId="18" xfId="0" applyNumberFormat="1" applyFill="1" applyBorder="1"/>
    <xf numFmtId="2" fontId="0" fillId="0" borderId="71" xfId="0" applyNumberFormat="1" applyFill="1" applyBorder="1"/>
    <xf numFmtId="1" fontId="0" fillId="0" borderId="51" xfId="0" applyNumberFormat="1" applyFill="1" applyBorder="1"/>
    <xf numFmtId="2" fontId="0" fillId="0" borderId="51" xfId="0" applyNumberFormat="1" applyFill="1" applyBorder="1"/>
    <xf numFmtId="1" fontId="0" fillId="0" borderId="52" xfId="0" applyNumberFormat="1" applyFill="1" applyBorder="1"/>
    <xf numFmtId="1" fontId="0" fillId="0" borderId="59" xfId="0" applyNumberFormat="1" applyFill="1" applyBorder="1"/>
    <xf numFmtId="172" fontId="0" fillId="0" borderId="0" xfId="0" applyNumberFormat="1" applyFill="1"/>
    <xf numFmtId="1" fontId="0" fillId="0" borderId="60" xfId="0" applyNumberFormat="1" applyFill="1" applyBorder="1"/>
    <xf numFmtId="2" fontId="0" fillId="0" borderId="17" xfId="0" applyNumberForma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6" xfId="0" applyFont="1" applyFill="1" applyBorder="1"/>
    <xf numFmtId="0" fontId="2" fillId="0" borderId="11" xfId="0" applyFont="1" applyFill="1" applyBorder="1"/>
    <xf numFmtId="166" fontId="3" fillId="0" borderId="16" xfId="0" applyNumberFormat="1" applyFont="1" applyFill="1" applyBorder="1" applyAlignment="1">
      <alignment horizontal="right"/>
    </xf>
    <xf numFmtId="166" fontId="3" fillId="0" borderId="56" xfId="0" applyNumberFormat="1" applyFont="1" applyFill="1" applyBorder="1" applyAlignment="1">
      <alignment horizontal="left"/>
    </xf>
    <xf numFmtId="0" fontId="3" fillId="0" borderId="3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/>
    <xf numFmtId="0" fontId="38" fillId="0" borderId="0" xfId="0" applyFont="1" applyFill="1"/>
    <xf numFmtId="0" fontId="39" fillId="0" borderId="0" xfId="0" applyFont="1" applyFill="1"/>
    <xf numFmtId="2" fontId="2" fillId="0" borderId="0" xfId="7" applyNumberFormat="1" applyFill="1"/>
    <xf numFmtId="0" fontId="2" fillId="0" borderId="0" xfId="7" applyFill="1" applyBorder="1" applyAlignment="1">
      <alignment vertical="center"/>
    </xf>
    <xf numFmtId="2" fontId="2" fillId="0" borderId="0" xfId="7" applyNumberFormat="1" applyFill="1" applyAlignment="1">
      <alignment vertical="center"/>
    </xf>
    <xf numFmtId="0" fontId="8" fillId="0" borderId="0" xfId="0" applyFont="1" applyFill="1"/>
    <xf numFmtId="0" fontId="8" fillId="0" borderId="0" xfId="0" applyFont="1" applyFill="1" applyBorder="1"/>
    <xf numFmtId="167" fontId="8" fillId="0" borderId="0" xfId="0" applyNumberFormat="1" applyFont="1" applyFill="1" applyBorder="1"/>
    <xf numFmtId="2" fontId="8" fillId="0" borderId="0" xfId="0" applyNumberFormat="1" applyFont="1" applyFill="1"/>
    <xf numFmtId="0" fontId="4" fillId="0" borderId="0" xfId="0" applyFont="1" applyFill="1" applyAlignment="1">
      <alignment horizontal="right"/>
    </xf>
    <xf numFmtId="165" fontId="2" fillId="0" borderId="32" xfId="1" applyNumberFormat="1" applyFont="1" applyFill="1" applyBorder="1" applyAlignment="1"/>
    <xf numFmtId="2" fontId="4" fillId="0" borderId="0" xfId="10" applyNumberFormat="1" applyFont="1" applyFill="1"/>
    <xf numFmtId="165" fontId="2" fillId="0" borderId="30" xfId="1" applyNumberFormat="1" applyFont="1" applyFill="1" applyBorder="1" applyAlignment="1">
      <alignment horizontal="center"/>
    </xf>
    <xf numFmtId="0" fontId="0" fillId="0" borderId="21" xfId="0" applyFill="1" applyBorder="1" applyAlignment="1"/>
    <xf numFmtId="172" fontId="4" fillId="0" borderId="0" xfId="10" applyNumberFormat="1" applyFont="1" applyFill="1"/>
    <xf numFmtId="164" fontId="2" fillId="0" borderId="0" xfId="10" applyFont="1" applyFill="1"/>
    <xf numFmtId="167" fontId="0" fillId="0" borderId="28" xfId="0" applyNumberFormat="1" applyFill="1" applyBorder="1" applyAlignment="1">
      <alignment horizontal="center" vertical="center"/>
    </xf>
    <xf numFmtId="167" fontId="0" fillId="0" borderId="63" xfId="0" applyNumberFormat="1" applyFill="1" applyBorder="1" applyAlignment="1">
      <alignment horizontal="center" vertical="center"/>
    </xf>
    <xf numFmtId="0" fontId="1" fillId="0" borderId="58" xfId="0" applyFont="1" applyFill="1" applyBorder="1"/>
    <xf numFmtId="0" fontId="1" fillId="0" borderId="54" xfId="0" applyFont="1" applyFill="1" applyBorder="1"/>
    <xf numFmtId="0" fontId="1" fillId="0" borderId="55" xfId="0" applyFont="1" applyFill="1" applyBorder="1"/>
    <xf numFmtId="1" fontId="1" fillId="0" borderId="12" xfId="0" applyNumberFormat="1" applyFont="1" applyFill="1" applyBorder="1" applyAlignment="1">
      <alignment horizontal="center"/>
    </xf>
    <xf numFmtId="167" fontId="1" fillId="0" borderId="54" xfId="0" applyNumberFormat="1" applyFont="1" applyFill="1" applyBorder="1" applyAlignment="1">
      <alignment horizontal="center"/>
    </xf>
    <xf numFmtId="2" fontId="4" fillId="0" borderId="58" xfId="0" applyNumberFormat="1" applyFont="1" applyFill="1" applyBorder="1"/>
    <xf numFmtId="1" fontId="4" fillId="0" borderId="54" xfId="0" applyNumberFormat="1" applyFont="1" applyFill="1" applyBorder="1"/>
    <xf numFmtId="2" fontId="4" fillId="0" borderId="54" xfId="0" applyNumberFormat="1" applyFont="1" applyFill="1" applyBorder="1"/>
    <xf numFmtId="1" fontId="4" fillId="0" borderId="55" xfId="0" applyNumberFormat="1" applyFont="1" applyFill="1" applyBorder="1"/>
    <xf numFmtId="49" fontId="3" fillId="0" borderId="17" xfId="0" applyNumberFormat="1" applyFont="1" applyBorder="1" applyAlignment="1">
      <alignment horizontal="left"/>
    </xf>
    <xf numFmtId="0" fontId="4" fillId="0" borderId="35" xfId="0" applyFont="1" applyFill="1" applyBorder="1" applyAlignment="1">
      <alignment horizontal="left"/>
    </xf>
    <xf numFmtId="0" fontId="4" fillId="0" borderId="63" xfId="0" applyFont="1" applyFill="1" applyBorder="1" applyAlignment="1">
      <alignment horizontal="left"/>
    </xf>
    <xf numFmtId="0" fontId="4" fillId="0" borderId="58" xfId="0" applyFont="1" applyFill="1" applyBorder="1"/>
    <xf numFmtId="0" fontId="4" fillId="0" borderId="54" xfId="0" applyFont="1" applyFill="1" applyBorder="1"/>
    <xf numFmtId="0" fontId="4" fillId="0" borderId="55" xfId="0" applyFont="1" applyFill="1" applyBorder="1"/>
    <xf numFmtId="171" fontId="3" fillId="0" borderId="32" xfId="0" applyNumberFormat="1" applyFont="1" applyFill="1" applyBorder="1" applyAlignment="1">
      <alignment horizontal="right"/>
    </xf>
    <xf numFmtId="49" fontId="3" fillId="0" borderId="11" xfId="0" applyNumberFormat="1" applyFont="1" applyFill="1" applyBorder="1" applyAlignment="1">
      <alignment horizontal="center"/>
    </xf>
    <xf numFmtId="167" fontId="3" fillId="0" borderId="2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centerContinuous"/>
    </xf>
    <xf numFmtId="0" fontId="3" fillId="0" borderId="5" xfId="0" applyFont="1" applyFill="1" applyBorder="1" applyAlignment="1">
      <alignment horizontal="left"/>
    </xf>
    <xf numFmtId="49" fontId="3" fillId="0" borderId="13" xfId="0" applyNumberFormat="1" applyFont="1" applyFill="1" applyBorder="1" applyAlignment="1">
      <alignment horizontal="center"/>
    </xf>
    <xf numFmtId="49" fontId="3" fillId="0" borderId="31" xfId="0" applyNumberFormat="1" applyFont="1" applyFill="1" applyBorder="1" applyAlignment="1">
      <alignment horizontal="center"/>
    </xf>
    <xf numFmtId="0" fontId="3" fillId="0" borderId="27" xfId="0" applyFont="1" applyFill="1" applyBorder="1"/>
    <xf numFmtId="0" fontId="3" fillId="0" borderId="36" xfId="0" applyFont="1" applyFill="1" applyBorder="1" applyAlignment="1">
      <alignment horizontal="centerContinuous"/>
    </xf>
    <xf numFmtId="0" fontId="3" fillId="0" borderId="8" xfId="0" applyFont="1" applyFill="1" applyBorder="1"/>
    <xf numFmtId="167" fontId="3" fillId="0" borderId="6" xfId="0" applyNumberFormat="1" applyFont="1" applyFill="1" applyBorder="1" applyAlignment="1">
      <alignment horizontal="right"/>
    </xf>
    <xf numFmtId="1" fontId="3" fillId="0" borderId="7" xfId="0" applyNumberFormat="1" applyFont="1" applyFill="1" applyBorder="1" applyAlignment="1"/>
    <xf numFmtId="167" fontId="3" fillId="0" borderId="8" xfId="0" applyNumberFormat="1" applyFont="1" applyFill="1" applyBorder="1" applyAlignment="1">
      <alignment horizontal="left"/>
    </xf>
    <xf numFmtId="1" fontId="4" fillId="0" borderId="2" xfId="0" applyNumberFormat="1" applyFont="1" applyFill="1" applyBorder="1" applyAlignment="1"/>
    <xf numFmtId="0" fontId="4" fillId="0" borderId="3" xfId="0" applyFont="1" applyFill="1" applyBorder="1" applyAlignment="1">
      <alignment horizontal="left"/>
    </xf>
    <xf numFmtId="2" fontId="5" fillId="0" borderId="7" xfId="0" applyNumberFormat="1" applyFont="1" applyFill="1" applyBorder="1" applyAlignment="1">
      <alignment horizontal="center"/>
    </xf>
    <xf numFmtId="2" fontId="4" fillId="0" borderId="0" xfId="0" applyNumberFormat="1" applyFont="1" applyFill="1" applyBorder="1"/>
    <xf numFmtId="168" fontId="3" fillId="0" borderId="0" xfId="10" applyNumberFormat="1" applyFont="1" applyFill="1"/>
    <xf numFmtId="168" fontId="3" fillId="0" borderId="0" xfId="10" applyNumberFormat="1" applyFont="1" applyFill="1" applyAlignment="1">
      <alignment horizontal="right"/>
    </xf>
    <xf numFmtId="0" fontId="35" fillId="0" borderId="0" xfId="0" applyFont="1" applyFill="1" applyBorder="1"/>
    <xf numFmtId="167" fontId="35" fillId="0" borderId="0" xfId="0" applyNumberFormat="1" applyFont="1" applyFill="1" applyBorder="1"/>
    <xf numFmtId="1" fontId="4" fillId="0" borderId="23" xfId="0" applyNumberFormat="1" applyFont="1" applyFill="1" applyBorder="1" applyAlignment="1">
      <alignment horizontal="center" vertical="center"/>
    </xf>
    <xf numFmtId="165" fontId="0" fillId="0" borderId="32" xfId="0" applyNumberFormat="1" applyFont="1" applyFill="1" applyBorder="1" applyAlignment="1">
      <alignment horizontal="center"/>
    </xf>
    <xf numFmtId="165" fontId="0" fillId="0" borderId="31" xfId="0" applyNumberFormat="1" applyFont="1" applyFill="1" applyBorder="1" applyAlignment="1">
      <alignment horizontal="center"/>
    </xf>
    <xf numFmtId="165" fontId="0" fillId="0" borderId="19" xfId="0" applyNumberFormat="1" applyFont="1" applyFill="1" applyBorder="1" applyAlignment="1">
      <alignment horizontal="center"/>
    </xf>
    <xf numFmtId="165" fontId="0" fillId="0" borderId="33" xfId="0" applyNumberFormat="1" applyFill="1" applyBorder="1" applyAlignment="1">
      <alignment horizontal="center"/>
    </xf>
    <xf numFmtId="165" fontId="0" fillId="0" borderId="30" xfId="0" applyNumberFormat="1" applyFill="1" applyBorder="1" applyAlignment="1">
      <alignment horizontal="center"/>
    </xf>
    <xf numFmtId="165" fontId="0" fillId="0" borderId="20" xfId="0" applyNumberFormat="1" applyFill="1" applyBorder="1" applyAlignment="1">
      <alignment horizontal="center"/>
    </xf>
    <xf numFmtId="0" fontId="0" fillId="0" borderId="36" xfId="0" applyFill="1" applyBorder="1" applyAlignment="1"/>
    <xf numFmtId="0" fontId="0" fillId="0" borderId="14" xfId="0" applyFill="1" applyBorder="1" applyAlignment="1"/>
    <xf numFmtId="0" fontId="0" fillId="0" borderId="13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164" fontId="2" fillId="0" borderId="0" xfId="10" applyFont="1" applyFill="1" applyAlignment="1">
      <alignment horizontal="center"/>
    </xf>
    <xf numFmtId="164" fontId="0" fillId="0" borderId="0" xfId="10" applyFont="1" applyFill="1"/>
    <xf numFmtId="165" fontId="0" fillId="0" borderId="32" xfId="0" applyNumberFormat="1" applyFont="1" applyFill="1" applyBorder="1" applyAlignment="1"/>
    <xf numFmtId="165" fontId="0" fillId="0" borderId="33" xfId="0" applyNumberFormat="1" applyFill="1" applyBorder="1" applyAlignment="1"/>
    <xf numFmtId="167" fontId="0" fillId="0" borderId="54" xfId="0" applyNumberFormat="1" applyFill="1" applyBorder="1" applyAlignment="1">
      <alignment horizontal="center" vertical="center"/>
    </xf>
    <xf numFmtId="167" fontId="0" fillId="0" borderId="55" xfId="0" applyNumberFormat="1" applyFill="1" applyBorder="1" applyAlignment="1">
      <alignment horizontal="center" vertical="center"/>
    </xf>
    <xf numFmtId="168" fontId="2" fillId="0" borderId="0" xfId="10" applyNumberFormat="1" applyFont="1" applyFill="1" applyAlignment="1">
      <alignment vertical="center"/>
    </xf>
    <xf numFmtId="165" fontId="0" fillId="0" borderId="21" xfId="0" applyNumberFormat="1" applyFill="1" applyBorder="1" applyAlignment="1"/>
    <xf numFmtId="1" fontId="4" fillId="0" borderId="23" xfId="0" applyNumberFormat="1" applyFont="1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23" xfId="0" applyFont="1" applyFill="1" applyBorder="1"/>
    <xf numFmtId="0" fontId="5" fillId="0" borderId="24" xfId="0" applyFont="1" applyFill="1" applyBorder="1"/>
    <xf numFmtId="0" fontId="6" fillId="0" borderId="57" xfId="0" applyFont="1" applyFill="1" applyBorder="1"/>
    <xf numFmtId="1" fontId="1" fillId="0" borderId="23" xfId="0" applyNumberFormat="1" applyFont="1" applyFill="1" applyBorder="1" applyAlignment="1">
      <alignment horizontal="center" vertical="center"/>
    </xf>
    <xf numFmtId="167" fontId="1" fillId="0" borderId="24" xfId="0" applyNumberFormat="1" applyFont="1" applyFill="1" applyBorder="1" applyAlignment="1">
      <alignment horizontal="center" vertical="center"/>
    </xf>
    <xf numFmtId="167" fontId="1" fillId="0" borderId="25" xfId="0" applyNumberFormat="1" applyFont="1" applyFill="1" applyBorder="1" applyAlignment="1">
      <alignment horizontal="center" vertical="center"/>
    </xf>
    <xf numFmtId="165" fontId="0" fillId="0" borderId="60" xfId="0" applyNumberFormat="1" applyFill="1" applyBorder="1"/>
    <xf numFmtId="1" fontId="1" fillId="0" borderId="12" xfId="0" applyNumberFormat="1" applyFont="1" applyFill="1" applyBorder="1" applyAlignment="1">
      <alignment horizontal="center" vertical="center"/>
    </xf>
    <xf numFmtId="167" fontId="1" fillId="0" borderId="54" xfId="0" applyNumberFormat="1" applyFont="1" applyFill="1" applyBorder="1" applyAlignment="1">
      <alignment horizontal="center" vertical="center"/>
    </xf>
    <xf numFmtId="167" fontId="1" fillId="0" borderId="55" xfId="0" applyNumberFormat="1" applyFont="1" applyFill="1" applyBorder="1" applyAlignment="1">
      <alignment horizontal="center" vertical="center"/>
    </xf>
    <xf numFmtId="2" fontId="0" fillId="0" borderId="75" xfId="0" applyNumberFormat="1" applyFill="1" applyBorder="1"/>
    <xf numFmtId="1" fontId="0" fillId="0" borderId="28" xfId="0" applyNumberFormat="1" applyFill="1" applyBorder="1"/>
    <xf numFmtId="2" fontId="0" fillId="0" borderId="28" xfId="0" applyNumberFormat="1" applyFill="1" applyBorder="1"/>
    <xf numFmtId="1" fontId="0" fillId="0" borderId="62" xfId="0" applyNumberFormat="1" applyFill="1" applyBorder="1"/>
    <xf numFmtId="165" fontId="0" fillId="0" borderId="62" xfId="0" applyNumberFormat="1" applyFill="1" applyBorder="1"/>
    <xf numFmtId="2" fontId="0" fillId="0" borderId="72" xfId="0" applyNumberFormat="1" applyFill="1" applyBorder="1"/>
    <xf numFmtId="1" fontId="0" fillId="0" borderId="38" xfId="0" applyNumberFormat="1" applyFill="1" applyBorder="1"/>
    <xf numFmtId="2" fontId="0" fillId="0" borderId="38" xfId="0" applyNumberFormat="1" applyFill="1" applyBorder="1"/>
    <xf numFmtId="1" fontId="0" fillId="0" borderId="50" xfId="0" applyNumberFormat="1" applyFill="1" applyBorder="1"/>
    <xf numFmtId="1" fontId="0" fillId="0" borderId="37" xfId="0" applyNumberFormat="1" applyFill="1" applyBorder="1" applyAlignment="1">
      <alignment horizontal="center"/>
    </xf>
    <xf numFmtId="0" fontId="5" fillId="0" borderId="4" xfId="0" applyFont="1" applyFill="1" applyBorder="1" applyAlignment="1">
      <alignment horizontal="centerContinuous"/>
    </xf>
    <xf numFmtId="0" fontId="0" fillId="0" borderId="5" xfId="0" applyFill="1" applyBorder="1"/>
    <xf numFmtId="49" fontId="0" fillId="0" borderId="31" xfId="0" applyNumberFormat="1" applyFill="1" applyBorder="1" applyAlignment="1">
      <alignment horizontal="center"/>
    </xf>
    <xf numFmtId="0" fontId="3" fillId="0" borderId="10" xfId="0" applyFont="1" applyFill="1" applyBorder="1" applyAlignment="1"/>
    <xf numFmtId="49" fontId="0" fillId="0" borderId="7" xfId="0" applyNumberFormat="1" applyFill="1" applyBorder="1" applyAlignment="1">
      <alignment horizontal="center"/>
    </xf>
    <xf numFmtId="0" fontId="2" fillId="0" borderId="0" xfId="3" applyFill="1"/>
    <xf numFmtId="0" fontId="8" fillId="0" borderId="0" xfId="3" applyFont="1" applyFill="1"/>
    <xf numFmtId="0" fontId="14" fillId="0" borderId="0" xfId="3" applyFont="1" applyFill="1"/>
    <xf numFmtId="0" fontId="26" fillId="0" borderId="0" xfId="5" applyFont="1" applyFill="1"/>
    <xf numFmtId="0" fontId="2" fillId="0" borderId="0" xfId="8" applyFont="1" applyFill="1"/>
    <xf numFmtId="0" fontId="11" fillId="0" borderId="0" xfId="3" applyFont="1" applyFill="1"/>
    <xf numFmtId="0" fontId="3" fillId="0" borderId="0" xfId="3" applyFont="1" applyFill="1"/>
    <xf numFmtId="0" fontId="2" fillId="0" borderId="0" xfId="3" applyFill="1" applyBorder="1"/>
    <xf numFmtId="0" fontId="8" fillId="0" borderId="0" xfId="3" applyFont="1" applyFill="1" applyBorder="1"/>
    <xf numFmtId="0" fontId="9" fillId="0" borderId="0" xfId="3" applyFont="1" applyFill="1" applyBorder="1"/>
    <xf numFmtId="0" fontId="10" fillId="0" borderId="0" xfId="3" applyFont="1" applyFill="1" applyBorder="1" applyAlignment="1"/>
    <xf numFmtId="0" fontId="4" fillId="0" borderId="0" xfId="3" applyFont="1" applyFill="1"/>
    <xf numFmtId="14" fontId="2" fillId="0" borderId="0" xfId="3" applyNumberFormat="1" applyFill="1" applyBorder="1"/>
    <xf numFmtId="0" fontId="5" fillId="0" borderId="1" xfId="5" applyFont="1" applyFill="1" applyBorder="1"/>
    <xf numFmtId="0" fontId="5" fillId="0" borderId="2" xfId="5" applyFont="1" applyFill="1" applyBorder="1"/>
    <xf numFmtId="0" fontId="6" fillId="0" borderId="2" xfId="5" applyFont="1" applyFill="1" applyBorder="1" applyAlignment="1">
      <alignment horizontal="centerContinuous"/>
    </xf>
    <xf numFmtId="0" fontId="5" fillId="0" borderId="2" xfId="5" applyFont="1" applyFill="1" applyBorder="1" applyAlignment="1">
      <alignment horizontal="centerContinuous"/>
    </xf>
    <xf numFmtId="0" fontId="2" fillId="0" borderId="3" xfId="5" applyFill="1" applyBorder="1" applyAlignment="1">
      <alignment horizontal="centerContinuous"/>
    </xf>
    <xf numFmtId="0" fontId="2" fillId="0" borderId="1" xfId="6" applyFill="1" applyBorder="1"/>
    <xf numFmtId="1" fontId="5" fillId="0" borderId="2" xfId="6" applyNumberFormat="1" applyFont="1" applyFill="1" applyBorder="1"/>
    <xf numFmtId="0" fontId="5" fillId="0" borderId="3" xfId="6" applyFont="1" applyFill="1" applyBorder="1"/>
    <xf numFmtId="0" fontId="5" fillId="0" borderId="47" xfId="6" applyFont="1" applyFill="1" applyBorder="1"/>
    <xf numFmtId="1" fontId="5" fillId="0" borderId="13" xfId="6" applyNumberFormat="1" applyFont="1" applyFill="1" applyBorder="1" applyProtection="1">
      <protection locked="0"/>
    </xf>
    <xf numFmtId="0" fontId="5" fillId="0" borderId="15" xfId="6" applyFont="1" applyFill="1" applyBorder="1" applyProtection="1">
      <protection locked="0"/>
    </xf>
    <xf numFmtId="0" fontId="5" fillId="0" borderId="14" xfId="6" applyFont="1" applyFill="1" applyBorder="1" applyProtection="1">
      <protection locked="0"/>
    </xf>
    <xf numFmtId="0" fontId="5" fillId="0" borderId="47" xfId="6" applyFont="1" applyFill="1" applyBorder="1" applyProtection="1">
      <protection locked="0"/>
    </xf>
    <xf numFmtId="0" fontId="5" fillId="0" borderId="15" xfId="6" applyFont="1" applyFill="1" applyBorder="1"/>
    <xf numFmtId="0" fontId="2" fillId="0" borderId="0" xfId="5" applyFill="1"/>
    <xf numFmtId="0" fontId="5" fillId="0" borderId="3" xfId="5" applyFont="1" applyFill="1" applyBorder="1"/>
    <xf numFmtId="0" fontId="3" fillId="0" borderId="2" xfId="5" applyFont="1" applyFill="1" applyBorder="1" applyAlignment="1">
      <alignment horizontal="centerContinuous"/>
    </xf>
    <xf numFmtId="0" fontId="2" fillId="0" borderId="2" xfId="5" applyFill="1" applyBorder="1" applyAlignment="1">
      <alignment horizontal="centerContinuous"/>
    </xf>
    <xf numFmtId="0" fontId="5" fillId="0" borderId="23" xfId="5" applyFont="1" applyFill="1" applyBorder="1" applyAlignment="1">
      <alignment horizontal="center"/>
    </xf>
    <xf numFmtId="0" fontId="5" fillId="0" borderId="24" xfId="5" applyFont="1" applyFill="1" applyBorder="1" applyAlignment="1">
      <alignment horizontal="center"/>
    </xf>
    <xf numFmtId="0" fontId="5" fillId="0" borderId="25" xfId="5" applyFont="1" applyFill="1" applyBorder="1" applyAlignment="1">
      <alignment horizontal="center"/>
    </xf>
    <xf numFmtId="0" fontId="5" fillId="0" borderId="40" xfId="5" applyFont="1" applyFill="1" applyBorder="1" applyAlignment="1">
      <alignment horizontal="center"/>
    </xf>
    <xf numFmtId="0" fontId="5" fillId="0" borderId="41" xfId="5" applyFont="1" applyFill="1" applyBorder="1" applyAlignment="1">
      <alignment horizontal="center"/>
    </xf>
    <xf numFmtId="0" fontId="5" fillId="0" borderId="42" xfId="5" applyFont="1" applyFill="1" applyBorder="1" applyAlignment="1">
      <alignment horizontal="center"/>
    </xf>
    <xf numFmtId="0" fontId="5" fillId="0" borderId="32" xfId="5" applyFont="1" applyFill="1" applyBorder="1" applyAlignment="1">
      <alignment horizontal="center"/>
    </xf>
    <xf numFmtId="0" fontId="5" fillId="0" borderId="4" xfId="5" applyFont="1" applyFill="1" applyBorder="1"/>
    <xf numFmtId="0" fontId="5" fillId="0" borderId="5" xfId="5" applyFont="1" applyFill="1" applyBorder="1"/>
    <xf numFmtId="0" fontId="6" fillId="0" borderId="8" xfId="5" applyFont="1" applyFill="1" applyBorder="1" applyAlignment="1">
      <alignment horizontal="center"/>
    </xf>
    <xf numFmtId="0" fontId="2" fillId="0" borderId="0" xfId="5" applyFill="1" applyBorder="1"/>
    <xf numFmtId="0" fontId="2" fillId="0" borderId="7" xfId="5" applyFill="1" applyBorder="1"/>
    <xf numFmtId="0" fontId="3" fillId="0" borderId="22" xfId="5" applyFont="1" applyFill="1" applyBorder="1" applyAlignment="1">
      <alignment horizontal="center"/>
    </xf>
    <xf numFmtId="0" fontId="3" fillId="0" borderId="51" xfId="5" applyFont="1" applyFill="1" applyBorder="1" applyAlignment="1">
      <alignment horizontal="center"/>
    </xf>
    <xf numFmtId="0" fontId="3" fillId="0" borderId="52" xfId="5" applyFont="1" applyFill="1" applyBorder="1" applyAlignment="1">
      <alignment horizontal="center"/>
    </xf>
    <xf numFmtId="0" fontId="3" fillId="0" borderId="37" xfId="5" applyFont="1" applyFill="1" applyBorder="1" applyAlignment="1">
      <alignment horizontal="center"/>
    </xf>
    <xf numFmtId="0" fontId="3" fillId="0" borderId="38" xfId="5" applyFont="1" applyFill="1" applyBorder="1" applyAlignment="1">
      <alignment horizontal="center"/>
    </xf>
    <xf numFmtId="0" fontId="3" fillId="0" borderId="39" xfId="5" applyFont="1" applyFill="1" applyBorder="1" applyAlignment="1">
      <alignment horizontal="center"/>
    </xf>
    <xf numFmtId="0" fontId="5" fillId="0" borderId="1" xfId="3" applyFont="1" applyFill="1" applyBorder="1"/>
    <xf numFmtId="0" fontId="5" fillId="0" borderId="3" xfId="3" applyFont="1" applyFill="1" applyBorder="1"/>
    <xf numFmtId="0" fontId="6" fillId="0" borderId="0" xfId="3" applyFont="1" applyFill="1" applyBorder="1" applyAlignment="1">
      <alignment horizontal="center"/>
    </xf>
    <xf numFmtId="0" fontId="2" fillId="0" borderId="1" xfId="3" applyFill="1" applyBorder="1"/>
    <xf numFmtId="0" fontId="2" fillId="0" borderId="2" xfId="3" applyFill="1" applyBorder="1"/>
    <xf numFmtId="0" fontId="2" fillId="0" borderId="3" xfId="3" applyFill="1" applyBorder="1"/>
    <xf numFmtId="1" fontId="4" fillId="0" borderId="76" xfId="3" applyNumberFormat="1" applyFont="1" applyFill="1" applyBorder="1" applyAlignment="1">
      <alignment horizontal="right"/>
    </xf>
    <xf numFmtId="2" fontId="4" fillId="0" borderId="77" xfId="3" applyNumberFormat="1" applyFont="1" applyFill="1" applyBorder="1"/>
    <xf numFmtId="2" fontId="4" fillId="0" borderId="78" xfId="3" applyNumberFormat="1" applyFont="1" applyFill="1" applyBorder="1"/>
    <xf numFmtId="0" fontId="2" fillId="0" borderId="4" xfId="3" applyFill="1" applyBorder="1" applyAlignment="1">
      <alignment textRotation="90"/>
    </xf>
    <xf numFmtId="0" fontId="2" fillId="0" borderId="5" xfId="3" applyFill="1" applyBorder="1"/>
    <xf numFmtId="0" fontId="2" fillId="0" borderId="4" xfId="3" applyFill="1" applyBorder="1"/>
    <xf numFmtId="0" fontId="2" fillId="0" borderId="33" xfId="3" applyFill="1" applyBorder="1" applyAlignment="1">
      <alignment horizontal="left"/>
    </xf>
    <xf numFmtId="0" fontId="2" fillId="0" borderId="20" xfId="3" applyFill="1" applyBorder="1"/>
    <xf numFmtId="1" fontId="4" fillId="0" borderId="79" xfId="3" applyNumberFormat="1" applyFont="1" applyFill="1" applyBorder="1" applyAlignment="1">
      <alignment horizontal="right"/>
    </xf>
    <xf numFmtId="2" fontId="4" fillId="0" borderId="80" xfId="3" applyNumberFormat="1" applyFont="1" applyFill="1" applyBorder="1"/>
    <xf numFmtId="0" fontId="2" fillId="0" borderId="4" xfId="3" applyFill="1" applyBorder="1" applyAlignment="1">
      <alignment horizontal="center" textRotation="90"/>
    </xf>
    <xf numFmtId="0" fontId="2" fillId="0" borderId="5" xfId="3" applyFill="1" applyBorder="1" applyAlignment="1">
      <alignment horizontal="center"/>
    </xf>
    <xf numFmtId="0" fontId="2" fillId="0" borderId="0" xfId="3" applyFill="1" applyBorder="1" applyAlignment="1">
      <alignment horizontal="center"/>
    </xf>
    <xf numFmtId="0" fontId="2" fillId="0" borderId="14" xfId="3" applyFill="1" applyBorder="1" applyAlignment="1">
      <alignment horizontal="center"/>
    </xf>
    <xf numFmtId="0" fontId="2" fillId="0" borderId="13" xfId="3" applyFill="1" applyBorder="1" applyAlignment="1">
      <alignment horizontal="center"/>
    </xf>
    <xf numFmtId="0" fontId="2" fillId="0" borderId="15" xfId="3" applyFill="1" applyBorder="1" applyAlignment="1">
      <alignment horizontal="center"/>
    </xf>
    <xf numFmtId="1" fontId="2" fillId="0" borderId="13" xfId="3" applyNumberFormat="1" applyFill="1" applyBorder="1" applyAlignment="1">
      <alignment horizontal="center"/>
    </xf>
    <xf numFmtId="49" fontId="4" fillId="0" borderId="13" xfId="3" applyNumberFormat="1" applyFont="1" applyFill="1" applyBorder="1" applyAlignment="1" applyProtection="1">
      <alignment horizontal="center"/>
      <protection locked="0"/>
    </xf>
    <xf numFmtId="0" fontId="4" fillId="0" borderId="15" xfId="3" applyNumberFormat="1" applyFont="1" applyFill="1" applyBorder="1" applyAlignment="1">
      <alignment horizontal="center"/>
    </xf>
    <xf numFmtId="0" fontId="2" fillId="0" borderId="0" xfId="3" applyFill="1" applyAlignment="1">
      <alignment horizontal="center"/>
    </xf>
    <xf numFmtId="0" fontId="2" fillId="0" borderId="4" xfId="3" applyFont="1" applyFill="1" applyBorder="1" applyAlignment="1">
      <alignment textRotation="90"/>
    </xf>
    <xf numFmtId="165" fontId="2" fillId="0" borderId="0" xfId="3" applyNumberFormat="1" applyFont="1" applyFill="1" applyBorder="1"/>
    <xf numFmtId="0" fontId="2" fillId="0" borderId="9" xfId="3" applyFont="1" applyFill="1" applyBorder="1"/>
    <xf numFmtId="0" fontId="2" fillId="0" borderId="4" xfId="3" applyFont="1" applyFill="1" applyBorder="1"/>
    <xf numFmtId="0" fontId="2" fillId="0" borderId="0" xfId="3" applyFont="1" applyFill="1" applyBorder="1"/>
    <xf numFmtId="0" fontId="2" fillId="0" borderId="1" xfId="3" applyFont="1" applyFill="1" applyBorder="1"/>
    <xf numFmtId="0" fontId="2" fillId="0" borderId="19" xfId="3" applyFont="1" applyFill="1" applyBorder="1"/>
    <xf numFmtId="1" fontId="2" fillId="0" borderId="81" xfId="3" applyNumberFormat="1" applyFont="1" applyFill="1" applyBorder="1" applyAlignment="1">
      <alignment horizontal="right"/>
    </xf>
    <xf numFmtId="165" fontId="2" fillId="0" borderId="77" xfId="6" applyNumberFormat="1" applyFont="1" applyFill="1" applyBorder="1" applyAlignment="1" applyProtection="1">
      <alignment horizontal="right"/>
      <protection locked="0"/>
    </xf>
    <xf numFmtId="1" fontId="2" fillId="0" borderId="67" xfId="6" applyNumberFormat="1" applyFont="1" applyFill="1" applyBorder="1" applyAlignment="1">
      <alignment horizontal="right"/>
    </xf>
    <xf numFmtId="0" fontId="2" fillId="0" borderId="0" xfId="3" applyFont="1" applyFill="1"/>
    <xf numFmtId="0" fontId="2" fillId="0" borderId="5" xfId="3" applyFont="1" applyFill="1" applyBorder="1"/>
    <xf numFmtId="0" fontId="2" fillId="0" borderId="0" xfId="3" applyFont="1" applyFill="1" applyBorder="1" applyAlignment="1">
      <alignment horizontal="center"/>
    </xf>
    <xf numFmtId="0" fontId="2" fillId="0" borderId="33" xfId="3" applyFont="1" applyFill="1" applyBorder="1" applyAlignment="1">
      <alignment horizontal="left"/>
    </xf>
    <xf numFmtId="0" fontId="2" fillId="0" borderId="56" xfId="3" applyFont="1" applyFill="1" applyBorder="1"/>
    <xf numFmtId="165" fontId="2" fillId="0" borderId="82" xfId="6" applyNumberFormat="1" applyFont="1" applyFill="1" applyBorder="1" applyAlignment="1" applyProtection="1">
      <alignment horizontal="right"/>
      <protection locked="0"/>
    </xf>
    <xf numFmtId="165" fontId="2" fillId="0" borderId="83" xfId="6" applyNumberFormat="1" applyFont="1" applyFill="1" applyBorder="1" applyAlignment="1">
      <alignment horizontal="right"/>
    </xf>
    <xf numFmtId="0" fontId="2" fillId="0" borderId="10" xfId="3" applyFont="1" applyFill="1" applyBorder="1" applyAlignment="1">
      <alignment horizontal="center"/>
    </xf>
    <xf numFmtId="0" fontId="2" fillId="0" borderId="14" xfId="3" applyFont="1" applyFill="1" applyBorder="1"/>
    <xf numFmtId="0" fontId="2" fillId="0" borderId="13" xfId="3" applyFont="1" applyFill="1" applyBorder="1"/>
    <xf numFmtId="0" fontId="2" fillId="0" borderId="15" xfId="3" applyFont="1" applyFill="1" applyBorder="1"/>
    <xf numFmtId="1" fontId="2" fillId="0" borderId="13" xfId="3" applyNumberFormat="1" applyFont="1" applyFill="1" applyBorder="1" applyAlignment="1">
      <alignment horizontal="right"/>
    </xf>
    <xf numFmtId="0" fontId="2" fillId="0" borderId="13" xfId="3" applyNumberFormat="1" applyFont="1" applyFill="1" applyBorder="1" applyProtection="1">
      <protection locked="0"/>
    </xf>
    <xf numFmtId="0" fontId="2" fillId="0" borderId="15" xfId="3" applyNumberFormat="1" applyFont="1" applyFill="1" applyBorder="1"/>
    <xf numFmtId="0" fontId="1" fillId="0" borderId="1" xfId="3" applyFont="1" applyFill="1" applyBorder="1"/>
    <xf numFmtId="0" fontId="1" fillId="0" borderId="2" xfId="3" applyFont="1" applyFill="1" applyBorder="1"/>
    <xf numFmtId="0" fontId="2" fillId="0" borderId="26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3" xfId="3" applyFont="1" applyFill="1" applyBorder="1"/>
    <xf numFmtId="1" fontId="2" fillId="0" borderId="76" xfId="3" applyNumberFormat="1" applyFont="1" applyFill="1" applyBorder="1" applyAlignment="1">
      <alignment horizontal="right"/>
    </xf>
    <xf numFmtId="0" fontId="2" fillId="0" borderId="9" xfId="3" applyFont="1" applyFill="1" applyBorder="1" applyAlignment="1">
      <alignment horizontal="center"/>
    </xf>
    <xf numFmtId="0" fontId="2" fillId="0" borderId="20" xfId="3" applyFont="1" applyFill="1" applyBorder="1"/>
    <xf numFmtId="1" fontId="2" fillId="0" borderId="79" xfId="3" applyNumberFormat="1" applyFont="1" applyFill="1" applyBorder="1" applyAlignment="1">
      <alignment horizontal="right"/>
    </xf>
    <xf numFmtId="0" fontId="2" fillId="0" borderId="5" xfId="3" applyFont="1" applyFill="1" applyBorder="1" applyAlignment="1">
      <alignment horizontal="center"/>
    </xf>
    <xf numFmtId="0" fontId="2" fillId="0" borderId="0" xfId="3" applyFont="1" applyFill="1" applyAlignment="1">
      <alignment horizontal="right"/>
    </xf>
    <xf numFmtId="0" fontId="2" fillId="0" borderId="11" xfId="3" applyFont="1" applyFill="1" applyBorder="1"/>
    <xf numFmtId="0" fontId="2" fillId="0" borderId="10" xfId="3" applyFill="1" applyBorder="1"/>
    <xf numFmtId="0" fontId="2" fillId="0" borderId="14" xfId="3" applyFill="1" applyBorder="1"/>
    <xf numFmtId="0" fontId="2" fillId="0" borderId="13" xfId="3" applyFill="1" applyBorder="1"/>
    <xf numFmtId="0" fontId="2" fillId="0" borderId="15" xfId="3" applyFill="1" applyBorder="1"/>
    <xf numFmtId="1" fontId="2" fillId="0" borderId="13" xfId="3" applyNumberFormat="1" applyFill="1" applyBorder="1" applyAlignment="1">
      <alignment horizontal="right"/>
    </xf>
    <xf numFmtId="0" fontId="2" fillId="0" borderId="13" xfId="3" applyNumberFormat="1" applyFill="1" applyBorder="1" applyProtection="1">
      <protection locked="0"/>
    </xf>
    <xf numFmtId="0" fontId="2" fillId="0" borderId="15" xfId="3" applyNumberFormat="1" applyFill="1" applyBorder="1"/>
    <xf numFmtId="0" fontId="2" fillId="0" borderId="32" xfId="3" applyFill="1" applyBorder="1"/>
    <xf numFmtId="0" fontId="2" fillId="0" borderId="19" xfId="3" applyFill="1" applyBorder="1"/>
    <xf numFmtId="1" fontId="2" fillId="0" borderId="65" xfId="3" applyNumberFormat="1" applyFill="1" applyBorder="1" applyAlignment="1">
      <alignment horizontal="right"/>
    </xf>
    <xf numFmtId="2" fontId="2" fillId="0" borderId="77" xfId="3" applyNumberFormat="1" applyFill="1" applyBorder="1"/>
    <xf numFmtId="2" fontId="2" fillId="0" borderId="67" xfId="3" applyNumberFormat="1" applyFill="1" applyBorder="1"/>
    <xf numFmtId="0" fontId="2" fillId="0" borderId="6" xfId="3" applyFill="1" applyBorder="1"/>
    <xf numFmtId="0" fontId="2" fillId="0" borderId="7" xfId="3" applyFill="1" applyBorder="1"/>
    <xf numFmtId="0" fontId="2" fillId="0" borderId="27" xfId="3" applyFill="1" applyBorder="1" applyAlignment="1">
      <alignment horizontal="left"/>
    </xf>
    <xf numFmtId="0" fontId="2" fillId="0" borderId="21" xfId="3" applyFill="1" applyBorder="1"/>
    <xf numFmtId="1" fontId="2" fillId="0" borderId="84" xfId="3" applyNumberFormat="1" applyFill="1" applyBorder="1" applyAlignment="1">
      <alignment horizontal="right"/>
    </xf>
    <xf numFmtId="2" fontId="2" fillId="0" borderId="82" xfId="3" applyNumberFormat="1" applyFill="1" applyBorder="1"/>
    <xf numFmtId="2" fontId="2" fillId="0" borderId="85" xfId="3" applyNumberFormat="1" applyFill="1" applyBorder="1"/>
    <xf numFmtId="0" fontId="3" fillId="0" borderId="1" xfId="3" applyFont="1" applyFill="1" applyBorder="1" applyAlignment="1">
      <alignment horizontal="left"/>
    </xf>
    <xf numFmtId="2" fontId="2" fillId="0" borderId="3" xfId="3" applyNumberFormat="1" applyFill="1" applyBorder="1" applyAlignment="1">
      <alignment horizontal="left"/>
    </xf>
    <xf numFmtId="0" fontId="3" fillId="0" borderId="4" xfId="3" applyFont="1" applyFill="1" applyBorder="1" applyAlignment="1">
      <alignment horizontal="left"/>
    </xf>
    <xf numFmtId="2" fontId="47" fillId="0" borderId="5" xfId="3" applyNumberFormat="1" applyFont="1" applyFill="1" applyBorder="1" applyAlignment="1">
      <alignment horizontal="left"/>
    </xf>
    <xf numFmtId="0" fontId="3" fillId="0" borderId="6" xfId="3" applyFont="1" applyFill="1" applyBorder="1" applyAlignment="1">
      <alignment horizontal="left"/>
    </xf>
    <xf numFmtId="0" fontId="2" fillId="0" borderId="8" xfId="3" applyFill="1" applyBorder="1"/>
    <xf numFmtId="0" fontId="6" fillId="0" borderId="2" xfId="3" applyFont="1" applyFill="1" applyBorder="1" applyAlignment="1">
      <alignment horizontal="center"/>
    </xf>
    <xf numFmtId="0" fontId="6" fillId="0" borderId="3" xfId="3" applyFont="1" applyFill="1" applyBorder="1" applyAlignment="1">
      <alignment horizontal="center"/>
    </xf>
    <xf numFmtId="0" fontId="6" fillId="0" borderId="31" xfId="3" applyFont="1" applyBorder="1"/>
    <xf numFmtId="0" fontId="6" fillId="0" borderId="43" xfId="3" applyFont="1" applyBorder="1"/>
    <xf numFmtId="0" fontId="6" fillId="0" borderId="19" xfId="3" applyFont="1" applyBorder="1"/>
    <xf numFmtId="1" fontId="2" fillId="0" borderId="0" xfId="3" applyNumberFormat="1" applyFill="1" applyBorder="1" applyProtection="1">
      <protection locked="0"/>
    </xf>
    <xf numFmtId="2" fontId="2" fillId="0" borderId="0" xfId="3" applyNumberFormat="1" applyFill="1" applyBorder="1"/>
    <xf numFmtId="0" fontId="5" fillId="0" borderId="7" xfId="3" applyFont="1" applyFill="1" applyBorder="1"/>
    <xf numFmtId="0" fontId="3" fillId="0" borderId="8" xfId="3" applyFont="1" applyFill="1" applyBorder="1" applyAlignment="1">
      <alignment horizontal="center"/>
    </xf>
    <xf numFmtId="0" fontId="3" fillId="0" borderId="71" xfId="3" applyFont="1" applyBorder="1"/>
    <xf numFmtId="0" fontId="3" fillId="0" borderId="51" xfId="3" applyFont="1" applyBorder="1"/>
    <xf numFmtId="0" fontId="3" fillId="0" borderId="52" xfId="3" applyFont="1" applyBorder="1"/>
    <xf numFmtId="0" fontId="2" fillId="0" borderId="58" xfId="3" applyFill="1" applyBorder="1" applyAlignment="1">
      <alignment horizontal="left"/>
    </xf>
    <xf numFmtId="0" fontId="2" fillId="0" borderId="60" xfId="3" applyBorder="1"/>
    <xf numFmtId="0" fontId="5" fillId="0" borderId="56" xfId="3" applyFont="1" applyFill="1" applyBorder="1"/>
    <xf numFmtId="2" fontId="37" fillId="0" borderId="53" xfId="3" applyNumberFormat="1" applyFont="1" applyFill="1" applyBorder="1"/>
    <xf numFmtId="1" fontId="37" fillId="0" borderId="54" xfId="3" applyNumberFormat="1" applyFont="1" applyFill="1" applyBorder="1"/>
    <xf numFmtId="2" fontId="37" fillId="0" borderId="54" xfId="3" applyNumberFormat="1" applyFont="1" applyFill="1" applyBorder="1"/>
    <xf numFmtId="165" fontId="37" fillId="0" borderId="55" xfId="3" applyNumberFormat="1" applyFont="1" applyFill="1" applyBorder="1"/>
    <xf numFmtId="1" fontId="2" fillId="0" borderId="17" xfId="3" applyNumberFormat="1" applyFill="1" applyBorder="1" applyProtection="1">
      <protection locked="0"/>
    </xf>
    <xf numFmtId="167" fontId="2" fillId="0" borderId="17" xfId="3" applyNumberFormat="1" applyFill="1" applyBorder="1"/>
    <xf numFmtId="167" fontId="2" fillId="0" borderId="18" xfId="3" applyNumberFormat="1" applyFill="1" applyBorder="1"/>
    <xf numFmtId="2" fontId="2" fillId="0" borderId="0" xfId="3" applyNumberFormat="1" applyFill="1"/>
    <xf numFmtId="0" fontId="2" fillId="0" borderId="12" xfId="3" applyFill="1" applyBorder="1" applyAlignment="1">
      <alignment horizontal="left"/>
    </xf>
    <xf numFmtId="0" fontId="2" fillId="0" borderId="11" xfId="3" applyBorder="1"/>
    <xf numFmtId="0" fontId="5" fillId="0" borderId="20" xfId="3" applyFont="1" applyFill="1" applyBorder="1"/>
    <xf numFmtId="2" fontId="37" fillId="0" borderId="48" xfId="3" applyNumberFormat="1" applyFont="1" applyFill="1" applyBorder="1"/>
    <xf numFmtId="1" fontId="37" fillId="0" borderId="17" xfId="3" applyNumberFormat="1" applyFont="1" applyFill="1" applyBorder="1"/>
    <xf numFmtId="2" fontId="37" fillId="0" borderId="17" xfId="3" applyNumberFormat="1" applyFont="1" applyFill="1" applyBorder="1"/>
    <xf numFmtId="165" fontId="37" fillId="0" borderId="18" xfId="3" applyNumberFormat="1" applyFont="1" applyFill="1" applyBorder="1"/>
    <xf numFmtId="1" fontId="2" fillId="0" borderId="54" xfId="3" applyNumberFormat="1" applyFill="1" applyBorder="1" applyProtection="1">
      <protection locked="0"/>
    </xf>
    <xf numFmtId="167" fontId="2" fillId="0" borderId="54" xfId="3" applyNumberFormat="1" applyFill="1" applyBorder="1"/>
    <xf numFmtId="167" fontId="2" fillId="0" borderId="55" xfId="3" applyNumberFormat="1" applyFill="1" applyBorder="1"/>
    <xf numFmtId="49" fontId="2" fillId="0" borderId="30" xfId="3" applyNumberFormat="1" applyBorder="1" applyAlignment="1">
      <alignment horizontal="left"/>
    </xf>
    <xf numFmtId="0" fontId="2" fillId="0" borderId="30" xfId="3" applyBorder="1"/>
    <xf numFmtId="49" fontId="2" fillId="0" borderId="11" xfId="3" applyNumberFormat="1" applyBorder="1" applyAlignment="1">
      <alignment horizontal="left"/>
    </xf>
    <xf numFmtId="2" fontId="2" fillId="0" borderId="12" xfId="3" applyNumberFormat="1" applyFill="1" applyBorder="1"/>
    <xf numFmtId="1" fontId="2" fillId="0" borderId="17" xfId="3" applyNumberFormat="1" applyFill="1" applyBorder="1"/>
    <xf numFmtId="2" fontId="2" fillId="0" borderId="17" xfId="3" applyNumberFormat="1" applyFill="1" applyBorder="1"/>
    <xf numFmtId="1" fontId="2" fillId="0" borderId="18" xfId="3" applyNumberFormat="1" applyFill="1" applyBorder="1"/>
    <xf numFmtId="1" fontId="2" fillId="0" borderId="53" xfId="3" applyNumberFormat="1" applyFill="1" applyBorder="1" applyProtection="1">
      <protection locked="0"/>
    </xf>
    <xf numFmtId="0" fontId="5" fillId="0" borderId="5" xfId="3" applyFont="1" applyFill="1" applyBorder="1"/>
    <xf numFmtId="0" fontId="2" fillId="0" borderId="16" xfId="3" applyFill="1" applyBorder="1" applyAlignment="1">
      <alignment horizontal="left"/>
    </xf>
    <xf numFmtId="0" fontId="2" fillId="0" borderId="60" xfId="3" applyFont="1" applyBorder="1"/>
    <xf numFmtId="2" fontId="2" fillId="0" borderId="58" xfId="3" applyNumberFormat="1" applyFill="1" applyBorder="1"/>
    <xf numFmtId="1" fontId="2" fillId="0" borderId="54" xfId="3" applyNumberFormat="1" applyFill="1" applyBorder="1"/>
    <xf numFmtId="2" fontId="2" fillId="0" borderId="54" xfId="3" applyNumberFormat="1" applyFill="1" applyBorder="1"/>
    <xf numFmtId="1" fontId="2" fillId="0" borderId="55" xfId="3" applyNumberFormat="1" applyFill="1" applyBorder="1"/>
    <xf numFmtId="0" fontId="2" fillId="0" borderId="32" xfId="9" applyFont="1" applyFill="1" applyBorder="1" applyAlignment="1"/>
    <xf numFmtId="0" fontId="2" fillId="0" borderId="31" xfId="3" applyFill="1" applyBorder="1"/>
    <xf numFmtId="0" fontId="5" fillId="0" borderId="19" xfId="3" applyFont="1" applyFill="1" applyBorder="1"/>
    <xf numFmtId="2" fontId="2" fillId="0" borderId="31" xfId="3" applyNumberFormat="1" applyFill="1" applyBorder="1"/>
    <xf numFmtId="1" fontId="2" fillId="0" borderId="31" xfId="3" applyNumberFormat="1" applyFill="1" applyBorder="1"/>
    <xf numFmtId="1" fontId="2" fillId="0" borderId="19" xfId="3" applyNumberFormat="1" applyFill="1" applyBorder="1"/>
    <xf numFmtId="1" fontId="2" fillId="0" borderId="43" xfId="3" applyNumberFormat="1" applyFill="1" applyBorder="1" applyProtection="1">
      <protection locked="0"/>
    </xf>
    <xf numFmtId="2" fontId="2" fillId="0" borderId="24" xfId="3" applyNumberFormat="1" applyFill="1" applyBorder="1"/>
    <xf numFmtId="2" fontId="2" fillId="0" borderId="25" xfId="3" applyNumberFormat="1" applyFill="1" applyBorder="1"/>
    <xf numFmtId="2" fontId="2" fillId="0" borderId="24" xfId="3" applyNumberFormat="1" applyFill="1" applyBorder="1" applyAlignment="1">
      <alignment horizontal="right"/>
    </xf>
    <xf numFmtId="2" fontId="2" fillId="0" borderId="25" xfId="3" applyNumberFormat="1" applyFill="1" applyBorder="1" applyAlignment="1">
      <alignment horizontal="right"/>
    </xf>
    <xf numFmtId="0" fontId="2" fillId="0" borderId="27" xfId="9" applyFont="1" applyFill="1" applyBorder="1" applyAlignment="1"/>
    <xf numFmtId="0" fontId="2" fillId="0" borderId="36" xfId="3" applyFill="1" applyBorder="1"/>
    <xf numFmtId="0" fontId="5" fillId="0" borderId="21" xfId="3" applyFont="1" applyFill="1" applyBorder="1"/>
    <xf numFmtId="2" fontId="2" fillId="0" borderId="27" xfId="3" applyNumberFormat="1" applyFill="1" applyBorder="1"/>
    <xf numFmtId="1" fontId="2" fillId="0" borderId="36" xfId="3" applyNumberFormat="1" applyFill="1" applyBorder="1"/>
    <xf numFmtId="2" fontId="2" fillId="0" borderId="36" xfId="3" applyNumberFormat="1" applyFill="1" applyBorder="1"/>
    <xf numFmtId="1" fontId="2" fillId="0" borderId="21" xfId="3" applyNumberFormat="1" applyFill="1" applyBorder="1"/>
    <xf numFmtId="1" fontId="2" fillId="0" borderId="72" xfId="3" applyNumberFormat="1" applyFill="1" applyBorder="1" applyProtection="1">
      <protection locked="0"/>
    </xf>
    <xf numFmtId="2" fontId="2" fillId="0" borderId="38" xfId="3" applyNumberFormat="1" applyFill="1" applyBorder="1"/>
    <xf numFmtId="2" fontId="2" fillId="0" borderId="39" xfId="3" applyNumberFormat="1" applyFill="1" applyBorder="1"/>
    <xf numFmtId="0" fontId="2" fillId="0" borderId="14" xfId="9" applyFont="1" applyFill="1" applyBorder="1"/>
    <xf numFmtId="0" fontId="1" fillId="0" borderId="13" xfId="3" applyFont="1" applyFill="1" applyBorder="1"/>
    <xf numFmtId="2" fontId="2" fillId="0" borderId="13" xfId="3" applyNumberFormat="1" applyFont="1" applyFill="1" applyBorder="1"/>
    <xf numFmtId="1" fontId="2" fillId="0" borderId="13" xfId="3" applyNumberFormat="1" applyFont="1" applyFill="1" applyBorder="1"/>
    <xf numFmtId="1" fontId="2" fillId="0" borderId="15" xfId="3" applyNumberFormat="1" applyFont="1" applyFill="1" applyBorder="1"/>
    <xf numFmtId="1" fontId="2" fillId="0" borderId="86" xfId="3" applyNumberFormat="1" applyFont="1" applyFill="1" applyBorder="1" applyProtection="1">
      <protection locked="0"/>
    </xf>
    <xf numFmtId="2" fontId="2" fillId="0" borderId="87" xfId="3" applyNumberFormat="1" applyFont="1" applyFill="1" applyBorder="1"/>
    <xf numFmtId="2" fontId="2" fillId="0" borderId="88" xfId="3" applyNumberFormat="1" applyFont="1" applyFill="1" applyBorder="1"/>
    <xf numFmtId="0" fontId="2" fillId="0" borderId="4" xfId="9" applyFont="1" applyFill="1" applyBorder="1"/>
    <xf numFmtId="0" fontId="1" fillId="0" borderId="0" xfId="3" applyFont="1" applyFill="1" applyBorder="1"/>
    <xf numFmtId="2" fontId="2" fillId="0" borderId="0" xfId="3" applyNumberFormat="1" applyFont="1" applyFill="1" applyBorder="1"/>
    <xf numFmtId="1" fontId="2" fillId="0" borderId="0" xfId="3" applyNumberFormat="1" applyFont="1" applyFill="1" applyBorder="1"/>
    <xf numFmtId="1" fontId="2" fillId="0" borderId="0" xfId="3" applyNumberFormat="1" applyFont="1" applyFill="1" applyBorder="1" applyProtection="1">
      <protection locked="0"/>
    </xf>
    <xf numFmtId="0" fontId="4" fillId="0" borderId="0" xfId="3" applyFont="1" applyFill="1" applyBorder="1"/>
    <xf numFmtId="0" fontId="3" fillId="0" borderId="0" xfId="3" applyFont="1" applyFill="1" applyBorder="1"/>
    <xf numFmtId="0" fontId="5" fillId="0" borderId="0" xfId="3" applyFont="1" applyFill="1" applyBorder="1" applyAlignment="1">
      <alignment horizontal="centerContinuous"/>
    </xf>
    <xf numFmtId="2" fontId="3" fillId="0" borderId="0" xfId="3" applyNumberFormat="1" applyFont="1" applyFill="1" applyBorder="1" applyAlignment="1">
      <alignment horizontal="centerContinuous"/>
    </xf>
    <xf numFmtId="0" fontId="3" fillId="0" borderId="0" xfId="3" applyFont="1" applyFill="1" applyBorder="1" applyAlignment="1">
      <alignment horizontal="centerContinuous"/>
    </xf>
    <xf numFmtId="0" fontId="2" fillId="0" borderId="0" xfId="3" applyFill="1" applyBorder="1" applyAlignment="1">
      <alignment horizontal="centerContinuous"/>
    </xf>
    <xf numFmtId="0" fontId="2" fillId="0" borderId="26" xfId="3" applyFill="1" applyBorder="1"/>
    <xf numFmtId="0" fontId="3" fillId="0" borderId="32" xfId="3" applyFont="1" applyFill="1" applyBorder="1"/>
    <xf numFmtId="0" fontId="2" fillId="0" borderId="31" xfId="3" applyFont="1" applyFill="1" applyBorder="1"/>
    <xf numFmtId="167" fontId="12" fillId="0" borderId="65" xfId="3" applyNumberFormat="1" applyFont="1" applyFill="1" applyBorder="1" applyAlignment="1">
      <alignment horizontal="right"/>
    </xf>
    <xf numFmtId="49" fontId="12" fillId="0" borderId="66" xfId="3" applyNumberFormat="1" applyFont="1" applyFill="1" applyBorder="1" applyAlignment="1">
      <alignment horizontal="center"/>
    </xf>
    <xf numFmtId="167" fontId="12" fillId="0" borderId="67" xfId="3" applyNumberFormat="1" applyFont="1" applyFill="1" applyBorder="1" applyAlignment="1">
      <alignment horizontal="left"/>
    </xf>
    <xf numFmtId="0" fontId="2" fillId="0" borderId="9" xfId="3" applyFill="1" applyBorder="1"/>
    <xf numFmtId="0" fontId="3" fillId="0" borderId="33" xfId="3" applyFont="1" applyFill="1" applyBorder="1"/>
    <xf numFmtId="0" fontId="2" fillId="0" borderId="30" xfId="3" applyFill="1" applyBorder="1"/>
    <xf numFmtId="0" fontId="3" fillId="0" borderId="30" xfId="3" applyFont="1" applyFill="1" applyBorder="1"/>
    <xf numFmtId="0" fontId="4" fillId="0" borderId="30" xfId="3" applyFont="1" applyFill="1" applyBorder="1"/>
    <xf numFmtId="167" fontId="12" fillId="0" borderId="6" xfId="3" applyNumberFormat="1" applyFont="1" applyFill="1" applyBorder="1" applyAlignment="1">
      <alignment horizontal="right"/>
    </xf>
    <xf numFmtId="49" fontId="12" fillId="0" borderId="7" xfId="3" applyNumberFormat="1" applyFont="1" applyFill="1" applyBorder="1" applyAlignment="1">
      <alignment horizontal="center"/>
    </xf>
    <xf numFmtId="167" fontId="12" fillId="0" borderId="8" xfId="3" applyNumberFormat="1" applyFont="1" applyFill="1" applyBorder="1" applyAlignment="1">
      <alignment horizontal="left"/>
    </xf>
    <xf numFmtId="2" fontId="3" fillId="0" borderId="68" xfId="3" applyNumberFormat="1" applyFont="1" applyFill="1" applyBorder="1" applyAlignment="1"/>
    <xf numFmtId="0" fontId="37" fillId="0" borderId="69" xfId="3" applyFont="1" applyFill="1" applyBorder="1" applyAlignment="1">
      <alignment horizontal="left"/>
    </xf>
    <xf numFmtId="0" fontId="2" fillId="0" borderId="69" xfId="3" applyFill="1" applyBorder="1"/>
    <xf numFmtId="0" fontId="12" fillId="0" borderId="69" xfId="3" applyFont="1" applyFill="1" applyBorder="1" applyAlignment="1">
      <alignment horizontal="right"/>
    </xf>
    <xf numFmtId="165" fontId="12" fillId="0" borderId="89" xfId="3" applyNumberFormat="1" applyFont="1" applyFill="1" applyBorder="1" applyAlignment="1">
      <alignment horizontal="left"/>
    </xf>
    <xf numFmtId="0" fontId="12" fillId="0" borderId="3" xfId="3" applyFont="1" applyFill="1" applyBorder="1" applyAlignment="1">
      <alignment horizontal="left"/>
    </xf>
    <xf numFmtId="0" fontId="12" fillId="0" borderId="0" xfId="3" applyFont="1" applyFill="1" applyBorder="1" applyAlignment="1">
      <alignment horizontal="right"/>
    </xf>
    <xf numFmtId="0" fontId="12" fillId="0" borderId="0" xfId="3" applyFont="1" applyFill="1" applyBorder="1" applyAlignment="1">
      <alignment horizontal="centerContinuous"/>
    </xf>
    <xf numFmtId="0" fontId="12" fillId="0" borderId="0" xfId="3" applyFont="1" applyFill="1" applyBorder="1" applyAlignment="1">
      <alignment horizontal="left"/>
    </xf>
    <xf numFmtId="0" fontId="12" fillId="0" borderId="1" xfId="3" applyFont="1" applyFill="1" applyBorder="1" applyAlignment="1">
      <alignment horizontal="right"/>
    </xf>
    <xf numFmtId="0" fontId="12" fillId="0" borderId="2" xfId="3" applyFont="1" applyFill="1" applyBorder="1"/>
    <xf numFmtId="0" fontId="12" fillId="0" borderId="5" xfId="3" applyFont="1" applyFill="1" applyBorder="1" applyAlignment="1">
      <alignment horizontal="left"/>
    </xf>
    <xf numFmtId="0" fontId="48" fillId="0" borderId="6" xfId="3" applyFont="1" applyFill="1" applyBorder="1" applyAlignment="1">
      <alignment horizontal="left"/>
    </xf>
    <xf numFmtId="0" fontId="3" fillId="0" borderId="7" xfId="3" applyFont="1" applyFill="1" applyBorder="1" applyAlignment="1">
      <alignment horizontal="centerContinuous"/>
    </xf>
    <xf numFmtId="0" fontId="3" fillId="0" borderId="7" xfId="3" applyFont="1" applyFill="1" applyBorder="1"/>
    <xf numFmtId="2" fontId="3" fillId="0" borderId="7" xfId="3" applyNumberFormat="1" applyFont="1" applyFill="1" applyBorder="1" applyAlignment="1">
      <alignment horizontal="left"/>
    </xf>
    <xf numFmtId="2" fontId="3" fillId="0" borderId="7" xfId="3" applyNumberFormat="1" applyFont="1" applyFill="1" applyBorder="1" applyAlignment="1">
      <alignment horizontal="center"/>
    </xf>
    <xf numFmtId="0" fontId="3" fillId="0" borderId="7" xfId="3" applyNumberFormat="1" applyFont="1" applyFill="1" applyBorder="1"/>
    <xf numFmtId="0" fontId="3" fillId="0" borderId="7" xfId="3" applyFont="1" applyFill="1" applyBorder="1" applyAlignment="1">
      <alignment horizontal="left"/>
    </xf>
    <xf numFmtId="0" fontId="3" fillId="0" borderId="8" xfId="3" applyFont="1" applyFill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3" fillId="0" borderId="5" xfId="3" applyFont="1" applyFill="1" applyBorder="1" applyAlignment="1">
      <alignment horizontal="left"/>
    </xf>
    <xf numFmtId="0" fontId="2" fillId="0" borderId="10" xfId="3" applyFont="1" applyFill="1" applyBorder="1"/>
    <xf numFmtId="167" fontId="13" fillId="0" borderId="1" xfId="3" applyNumberFormat="1" applyFont="1" applyFill="1" applyBorder="1" applyAlignment="1">
      <alignment horizontal="right"/>
    </xf>
    <xf numFmtId="49" fontId="13" fillId="0" borderId="2" xfId="3" applyNumberFormat="1" applyFont="1" applyFill="1" applyBorder="1" applyAlignment="1">
      <alignment horizontal="center"/>
    </xf>
    <xf numFmtId="167" fontId="13" fillId="0" borderId="3" xfId="3" applyNumberFormat="1" applyFont="1" applyFill="1" applyBorder="1" applyAlignment="1">
      <alignment horizontal="left"/>
    </xf>
    <xf numFmtId="0" fontId="2" fillId="0" borderId="26" xfId="3" applyFont="1" applyFill="1" applyBorder="1"/>
    <xf numFmtId="0" fontId="4" fillId="0" borderId="9" xfId="3" applyFont="1" applyFill="1" applyBorder="1" applyAlignment="1"/>
    <xf numFmtId="0" fontId="2" fillId="0" borderId="11" xfId="3" applyFill="1" applyBorder="1"/>
    <xf numFmtId="0" fontId="3" fillId="0" borderId="9" xfId="3" applyFont="1" applyFill="1" applyBorder="1" applyAlignment="1"/>
    <xf numFmtId="2" fontId="3" fillId="0" borderId="68" xfId="3" applyNumberFormat="1" applyFont="1" applyFill="1" applyBorder="1" applyAlignment="1">
      <alignment horizontal="center"/>
    </xf>
    <xf numFmtId="167" fontId="12" fillId="0" borderId="2" xfId="3" applyNumberFormat="1" applyFont="1" applyFill="1" applyBorder="1" applyAlignment="1">
      <alignment horizontal="left"/>
    </xf>
    <xf numFmtId="167" fontId="12" fillId="0" borderId="1" xfId="3" applyNumberFormat="1" applyFont="1" applyFill="1" applyBorder="1" applyAlignment="1">
      <alignment horizontal="right"/>
    </xf>
    <xf numFmtId="0" fontId="23" fillId="0" borderId="2" xfId="11" applyBorder="1"/>
    <xf numFmtId="0" fontId="23" fillId="0" borderId="1" xfId="11" applyBorder="1"/>
    <xf numFmtId="0" fontId="23" fillId="0" borderId="3" xfId="11" applyBorder="1"/>
    <xf numFmtId="167" fontId="12" fillId="0" borderId="0" xfId="3" applyNumberFormat="1" applyFont="1" applyFill="1" applyBorder="1" applyAlignment="1">
      <alignment horizontal="right"/>
    </xf>
    <xf numFmtId="0" fontId="23" fillId="0" borderId="0" xfId="11"/>
    <xf numFmtId="0" fontId="48" fillId="0" borderId="4" xfId="3" applyFont="1" applyFill="1" applyBorder="1" applyAlignment="1">
      <alignment horizontal="left"/>
    </xf>
    <xf numFmtId="0" fontId="3" fillId="0" borderId="0" xfId="3" applyNumberFormat="1" applyFont="1" applyFill="1" applyBorder="1"/>
    <xf numFmtId="0" fontId="23" fillId="0" borderId="0" xfId="11" applyBorder="1"/>
    <xf numFmtId="0" fontId="23" fillId="0" borderId="5" xfId="11" applyBorder="1"/>
    <xf numFmtId="167" fontId="13" fillId="0" borderId="14" xfId="3" applyNumberFormat="1" applyFont="1" applyFill="1" applyBorder="1" applyAlignment="1">
      <alignment horizontal="right"/>
    </xf>
    <xf numFmtId="49" fontId="13" fillId="0" borderId="13" xfId="3" applyNumberFormat="1" applyFont="1" applyFill="1" applyBorder="1" applyAlignment="1">
      <alignment horizontal="center"/>
    </xf>
    <xf numFmtId="167" fontId="13" fillId="0" borderId="13" xfId="3" applyNumberFormat="1" applyFont="1" applyFill="1" applyBorder="1" applyAlignment="1">
      <alignment horizontal="left"/>
    </xf>
    <xf numFmtId="167" fontId="13" fillId="0" borderId="15" xfId="3" applyNumberFormat="1" applyFont="1" applyFill="1" applyBorder="1" applyAlignment="1">
      <alignment horizontal="left"/>
    </xf>
    <xf numFmtId="167" fontId="13" fillId="0" borderId="13" xfId="3" applyNumberFormat="1" applyFont="1" applyFill="1" applyBorder="1" applyAlignment="1">
      <alignment horizontal="right"/>
    </xf>
    <xf numFmtId="0" fontId="5" fillId="0" borderId="4" xfId="3" applyFont="1" applyFill="1" applyBorder="1"/>
    <xf numFmtId="0" fontId="6" fillId="0" borderId="0" xfId="3" applyFont="1" applyFill="1" applyBorder="1"/>
    <xf numFmtId="0" fontId="5" fillId="0" borderId="0" xfId="3" applyFont="1" applyFill="1" applyBorder="1" applyAlignment="1">
      <alignment horizontal="center"/>
    </xf>
    <xf numFmtId="0" fontId="5" fillId="0" borderId="0" xfId="3" applyFont="1" applyFill="1" applyBorder="1"/>
    <xf numFmtId="0" fontId="23" fillId="0" borderId="4" xfId="11" applyBorder="1"/>
    <xf numFmtId="0" fontId="5" fillId="0" borderId="6" xfId="3" applyFont="1" applyFill="1" applyBorder="1"/>
    <xf numFmtId="0" fontId="5" fillId="0" borderId="7" xfId="3" applyFont="1" applyFill="1" applyBorder="1" applyAlignment="1">
      <alignment horizontal="center"/>
    </xf>
    <xf numFmtId="2" fontId="49" fillId="0" borderId="6" xfId="11" applyNumberFormat="1" applyFont="1" applyBorder="1"/>
    <xf numFmtId="2" fontId="49" fillId="0" borderId="7" xfId="11" applyNumberFormat="1" applyFont="1" applyBorder="1" applyAlignment="1">
      <alignment horizontal="center"/>
    </xf>
    <xf numFmtId="2" fontId="49" fillId="0" borderId="7" xfId="11" applyNumberFormat="1" applyFont="1" applyBorder="1" applyAlignment="1">
      <alignment horizontal="left"/>
    </xf>
    <xf numFmtId="2" fontId="49" fillId="0" borderId="8" xfId="11" applyNumberFormat="1" applyFont="1" applyBorder="1" applyAlignment="1">
      <alignment horizontal="left"/>
    </xf>
    <xf numFmtId="2" fontId="49" fillId="0" borderId="7" xfId="11" applyNumberFormat="1" applyFont="1" applyBorder="1"/>
    <xf numFmtId="0" fontId="50" fillId="0" borderId="0" xfId="11" applyFont="1" applyFill="1"/>
    <xf numFmtId="0" fontId="50" fillId="0" borderId="0" xfId="2" applyFont="1" applyFill="1"/>
    <xf numFmtId="165" fontId="50" fillId="0" borderId="0" xfId="2" applyNumberFormat="1" applyFont="1" applyFill="1" applyAlignment="1">
      <alignment horizontal="center"/>
    </xf>
    <xf numFmtId="0" fontId="23" fillId="0" borderId="0" xfId="11" applyFill="1"/>
    <xf numFmtId="2" fontId="23" fillId="0" borderId="0" xfId="11" applyNumberFormat="1" applyFill="1"/>
    <xf numFmtId="0" fontId="2" fillId="0" borderId="1" xfId="6" applyFont="1" applyFill="1" applyBorder="1"/>
    <xf numFmtId="1" fontId="1" fillId="0" borderId="2" xfId="6" applyNumberFormat="1" applyFont="1" applyFill="1" applyBorder="1"/>
    <xf numFmtId="0" fontId="1" fillId="0" borderId="3" xfId="6" applyFont="1" applyFill="1" applyBorder="1"/>
    <xf numFmtId="0" fontId="1" fillId="0" borderId="47" xfId="6" applyFont="1" applyFill="1" applyBorder="1"/>
    <xf numFmtId="1" fontId="1" fillId="0" borderId="13" xfId="6" applyNumberFormat="1" applyFont="1" applyFill="1" applyBorder="1" applyProtection="1">
      <protection locked="0"/>
    </xf>
    <xf numFmtId="0" fontId="1" fillId="0" borderId="15" xfId="6" applyFont="1" applyFill="1" applyBorder="1" applyProtection="1">
      <protection locked="0"/>
    </xf>
    <xf numFmtId="0" fontId="1" fillId="0" borderId="47" xfId="6" applyFont="1" applyFill="1" applyBorder="1" applyProtection="1">
      <protection locked="0"/>
    </xf>
    <xf numFmtId="0" fontId="1" fillId="0" borderId="15" xfId="6" applyFont="1" applyFill="1" applyBorder="1"/>
    <xf numFmtId="0" fontId="5" fillId="0" borderId="1" xfId="5" applyFont="1" applyFill="1" applyBorder="1" applyAlignment="1">
      <alignment horizontal="center"/>
    </xf>
    <xf numFmtId="167" fontId="2" fillId="0" borderId="0" xfId="3" applyNumberFormat="1" applyFill="1"/>
    <xf numFmtId="0" fontId="2" fillId="0" borderId="4" xfId="11" applyFont="1" applyFill="1" applyBorder="1"/>
    <xf numFmtId="0" fontId="2" fillId="0" borderId="5" xfId="11" applyFont="1" applyFill="1" applyBorder="1"/>
    <xf numFmtId="0" fontId="2" fillId="0" borderId="0" xfId="11" applyFont="1" applyFill="1" applyBorder="1" applyAlignment="1">
      <alignment horizontal="center"/>
    </xf>
    <xf numFmtId="0" fontId="2" fillId="0" borderId="16" xfId="11" applyFont="1" applyFill="1" applyBorder="1" applyAlignment="1">
      <alignment horizontal="left"/>
    </xf>
    <xf numFmtId="0" fontId="2" fillId="0" borderId="56" xfId="11" applyFont="1" applyFill="1" applyBorder="1"/>
    <xf numFmtId="165" fontId="2" fillId="0" borderId="81" xfId="3" applyNumberFormat="1" applyFont="1" applyFill="1" applyBorder="1" applyAlignment="1">
      <alignment horizontal="right"/>
    </xf>
    <xf numFmtId="165" fontId="2" fillId="0" borderId="67" xfId="6" applyNumberFormat="1" applyFont="1" applyFill="1" applyBorder="1" applyAlignment="1">
      <alignment horizontal="right"/>
    </xf>
    <xf numFmtId="0" fontId="2" fillId="0" borderId="0" xfId="11" applyFont="1" applyFill="1"/>
    <xf numFmtId="0" fontId="2" fillId="0" borderId="56" xfId="3" applyFill="1" applyBorder="1"/>
    <xf numFmtId="0" fontId="2" fillId="0" borderId="10" xfId="3" applyFill="1" applyBorder="1" applyAlignment="1">
      <alignment horizontal="center"/>
    </xf>
    <xf numFmtId="0" fontId="5" fillId="0" borderId="2" xfId="3" applyFont="1" applyFill="1" applyBorder="1"/>
    <xf numFmtId="0" fontId="2" fillId="0" borderId="26" xfId="3" applyFill="1" applyBorder="1" applyAlignment="1">
      <alignment horizontal="center"/>
    </xf>
    <xf numFmtId="0" fontId="2" fillId="0" borderId="9" xfId="3" applyFill="1" applyBorder="1" applyAlignment="1">
      <alignment horizontal="center"/>
    </xf>
    <xf numFmtId="0" fontId="2" fillId="0" borderId="11" xfId="11" applyFont="1" applyFill="1" applyBorder="1"/>
    <xf numFmtId="0" fontId="2" fillId="0" borderId="90" xfId="3" applyFill="1" applyBorder="1"/>
    <xf numFmtId="1" fontId="2" fillId="0" borderId="24" xfId="3" applyNumberFormat="1" applyFill="1" applyBorder="1" applyProtection="1">
      <protection locked="0"/>
    </xf>
    <xf numFmtId="1" fontId="2" fillId="0" borderId="51" xfId="3" applyNumberFormat="1" applyFill="1" applyBorder="1" applyProtection="1">
      <protection locked="0"/>
    </xf>
    <xf numFmtId="1" fontId="2" fillId="0" borderId="73" xfId="3" applyNumberFormat="1" applyFill="1" applyBorder="1" applyAlignment="1">
      <alignment horizontal="right"/>
    </xf>
    <xf numFmtId="2" fontId="2" fillId="0" borderId="91" xfId="3" applyNumberFormat="1" applyFill="1" applyBorder="1"/>
    <xf numFmtId="2" fontId="2" fillId="0" borderId="92" xfId="3" applyNumberFormat="1" applyFill="1" applyBorder="1"/>
    <xf numFmtId="1" fontId="2" fillId="0" borderId="81" xfId="3" applyNumberFormat="1" applyFill="1" applyBorder="1" applyAlignment="1">
      <alignment horizontal="right"/>
    </xf>
    <xf numFmtId="2" fontId="2" fillId="0" borderId="80" xfId="3" applyNumberFormat="1" applyFill="1" applyBorder="1"/>
    <xf numFmtId="2" fontId="2" fillId="0" borderId="83" xfId="3" applyNumberFormat="1" applyFill="1" applyBorder="1"/>
    <xf numFmtId="2" fontId="47" fillId="0" borderId="8" xfId="3" applyNumberFormat="1" applyFont="1" applyFill="1" applyBorder="1" applyAlignment="1">
      <alignment horizontal="left"/>
    </xf>
    <xf numFmtId="0" fontId="5" fillId="0" borderId="11" xfId="3" applyFont="1" applyFill="1" applyBorder="1"/>
    <xf numFmtId="0" fontId="3" fillId="0" borderId="5" xfId="3" applyFont="1" applyFill="1" applyBorder="1" applyAlignment="1">
      <alignment horizontal="center"/>
    </xf>
    <xf numFmtId="0" fontId="3" fillId="0" borderId="75" xfId="3" applyFont="1" applyBorder="1"/>
    <xf numFmtId="0" fontId="3" fillId="0" borderId="28" xfId="3" applyFont="1" applyBorder="1"/>
    <xf numFmtId="0" fontId="3" fillId="0" borderId="29" xfId="3" applyFont="1" applyBorder="1"/>
    <xf numFmtId="49" fontId="2" fillId="0" borderId="30" xfId="3" applyNumberFormat="1" applyFont="1" applyBorder="1" applyAlignment="1">
      <alignment horizontal="left"/>
    </xf>
    <xf numFmtId="2" fontId="2" fillId="0" borderId="18" xfId="3" applyNumberFormat="1" applyFill="1" applyBorder="1"/>
    <xf numFmtId="2" fontId="2" fillId="0" borderId="55" xfId="3" applyNumberFormat="1" applyFill="1" applyBorder="1"/>
    <xf numFmtId="2" fontId="37" fillId="0" borderId="58" xfId="3" applyNumberFormat="1" applyFont="1" applyFill="1" applyBorder="1"/>
    <xf numFmtId="1" fontId="37" fillId="0" borderId="53" xfId="3" applyNumberFormat="1" applyFont="1" applyFill="1" applyBorder="1"/>
    <xf numFmtId="165" fontId="37" fillId="0" borderId="56" xfId="3" applyNumberFormat="1" applyFont="1" applyFill="1" applyBorder="1"/>
    <xf numFmtId="2" fontId="37" fillId="0" borderId="12" xfId="3" applyNumberFormat="1" applyFont="1" applyFill="1" applyBorder="1"/>
    <xf numFmtId="1" fontId="37" fillId="0" borderId="48" xfId="3" applyNumberFormat="1" applyFont="1" applyFill="1" applyBorder="1"/>
    <xf numFmtId="165" fontId="37" fillId="0" borderId="20" xfId="3" applyNumberFormat="1" applyFont="1" applyFill="1" applyBorder="1"/>
    <xf numFmtId="2" fontId="3" fillId="0" borderId="89" xfId="3" applyNumberFormat="1" applyFont="1" applyFill="1" applyBorder="1" applyAlignment="1">
      <alignment horizontal="left"/>
    </xf>
    <xf numFmtId="165" fontId="3" fillId="0" borderId="7" xfId="3" applyNumberFormat="1" applyFont="1" applyFill="1" applyBorder="1"/>
    <xf numFmtId="167" fontId="12" fillId="0" borderId="3" xfId="3" applyNumberFormat="1" applyFont="1" applyFill="1" applyBorder="1" applyAlignment="1">
      <alignment horizontal="left"/>
    </xf>
    <xf numFmtId="0" fontId="12" fillId="0" borderId="2" xfId="3" applyFont="1" applyFill="1" applyBorder="1" applyAlignment="1"/>
    <xf numFmtId="165" fontId="3" fillId="0" borderId="0" xfId="3" applyNumberFormat="1" applyFont="1" applyFill="1" applyBorder="1"/>
    <xf numFmtId="0" fontId="23" fillId="0" borderId="1" xfId="11" applyBorder="1" applyAlignment="1">
      <alignment horizontal="center" vertical="center"/>
    </xf>
    <xf numFmtId="0" fontId="23" fillId="0" borderId="2" xfId="11" applyBorder="1" applyAlignment="1">
      <alignment horizontal="center" vertical="center"/>
    </xf>
    <xf numFmtId="0" fontId="23" fillId="0" borderId="3" xfId="11" applyBorder="1" applyAlignment="1">
      <alignment horizontal="center" vertical="center"/>
    </xf>
    <xf numFmtId="2" fontId="23" fillId="0" borderId="6" xfId="11" applyNumberFormat="1" applyBorder="1" applyAlignment="1">
      <alignment horizontal="center" vertical="center"/>
    </xf>
    <xf numFmtId="0" fontId="23" fillId="0" borderId="7" xfId="11" applyBorder="1" applyAlignment="1">
      <alignment horizontal="center" vertical="center"/>
    </xf>
    <xf numFmtId="2" fontId="23" fillId="0" borderId="7" xfId="11" applyNumberFormat="1" applyBorder="1" applyAlignment="1">
      <alignment horizontal="center" vertical="center"/>
    </xf>
    <xf numFmtId="2" fontId="23" fillId="0" borderId="8" xfId="11" applyNumberFormat="1" applyBorder="1" applyAlignment="1">
      <alignment horizontal="center" vertical="center"/>
    </xf>
    <xf numFmtId="165" fontId="50" fillId="0" borderId="0" xfId="11" applyNumberFormat="1" applyFont="1" applyFill="1" applyAlignment="1">
      <alignment horizontal="center"/>
    </xf>
    <xf numFmtId="2" fontId="50" fillId="0" borderId="0" xfId="11" applyNumberFormat="1" applyFont="1" applyFill="1"/>
    <xf numFmtId="0" fontId="2" fillId="0" borderId="0" xfId="3" applyFill="1" applyBorder="1" applyAlignment="1">
      <alignment horizontal="left"/>
    </xf>
    <xf numFmtId="0" fontId="6" fillId="0" borderId="26" xfId="3" applyFont="1" applyFill="1" applyBorder="1" applyAlignment="1">
      <alignment horizontal="center"/>
    </xf>
    <xf numFmtId="2" fontId="4" fillId="0" borderId="93" xfId="3" applyNumberFormat="1" applyFont="1" applyFill="1" applyBorder="1"/>
    <xf numFmtId="2" fontId="4" fillId="0" borderId="83" xfId="3" applyNumberFormat="1" applyFont="1" applyFill="1" applyBorder="1"/>
    <xf numFmtId="165" fontId="2" fillId="0" borderId="5" xfId="3" applyNumberFormat="1" applyFill="1" applyBorder="1"/>
    <xf numFmtId="0" fontId="2" fillId="0" borderId="33" xfId="3" applyFill="1" applyBorder="1"/>
    <xf numFmtId="1" fontId="4" fillId="0" borderId="13" xfId="3" applyNumberFormat="1" applyFont="1" applyFill="1" applyBorder="1" applyAlignment="1">
      <alignment horizontal="center"/>
    </xf>
    <xf numFmtId="0" fontId="2" fillId="0" borderId="9" xfId="11" applyFont="1" applyFill="1" applyBorder="1" applyAlignment="1">
      <alignment horizontal="center"/>
    </xf>
    <xf numFmtId="165" fontId="2" fillId="0" borderId="77" xfId="3" applyNumberFormat="1" applyFont="1" applyFill="1" applyBorder="1" applyProtection="1">
      <protection locked="0"/>
    </xf>
    <xf numFmtId="165" fontId="2" fillId="0" borderId="83" xfId="3" applyNumberFormat="1" applyFont="1" applyFill="1" applyBorder="1"/>
    <xf numFmtId="165" fontId="2" fillId="0" borderId="79" xfId="3" applyNumberFormat="1" applyFont="1" applyFill="1" applyBorder="1" applyAlignment="1">
      <alignment horizontal="right"/>
    </xf>
    <xf numFmtId="165" fontId="2" fillId="0" borderId="80" xfId="3" applyNumberFormat="1" applyFont="1" applyFill="1" applyBorder="1" applyProtection="1">
      <protection locked="0"/>
    </xf>
    <xf numFmtId="165" fontId="2" fillId="0" borderId="93" xfId="3" applyNumberFormat="1" applyFont="1" applyFill="1" applyBorder="1"/>
    <xf numFmtId="165" fontId="2" fillId="0" borderId="94" xfId="3" applyNumberFormat="1" applyFont="1" applyFill="1" applyBorder="1"/>
    <xf numFmtId="1" fontId="4" fillId="0" borderId="95" xfId="3" applyNumberFormat="1" applyFont="1" applyFill="1" applyBorder="1" applyAlignment="1">
      <alignment horizontal="right"/>
    </xf>
    <xf numFmtId="165" fontId="4" fillId="0" borderId="82" xfId="3" applyNumberFormat="1" applyFont="1" applyFill="1" applyBorder="1" applyProtection="1">
      <protection locked="0"/>
    </xf>
    <xf numFmtId="165" fontId="4" fillId="0" borderId="96" xfId="3" applyNumberFormat="1" applyFont="1" applyFill="1" applyBorder="1"/>
    <xf numFmtId="165" fontId="4" fillId="0" borderId="95" xfId="3" applyNumberFormat="1" applyFont="1" applyFill="1" applyBorder="1" applyAlignment="1">
      <alignment horizontal="right"/>
    </xf>
    <xf numFmtId="165" fontId="4" fillId="0" borderId="8" xfId="3" applyNumberFormat="1" applyFont="1" applyFill="1" applyBorder="1"/>
    <xf numFmtId="0" fontId="4" fillId="0" borderId="8" xfId="3" applyNumberFormat="1" applyFont="1" applyFill="1" applyBorder="1"/>
    <xf numFmtId="1" fontId="4" fillId="0" borderId="13" xfId="3" applyNumberFormat="1" applyFont="1" applyFill="1" applyBorder="1" applyAlignment="1">
      <alignment horizontal="right"/>
    </xf>
    <xf numFmtId="0" fontId="4" fillId="0" borderId="13" xfId="3" applyNumberFormat="1" applyFont="1" applyFill="1" applyBorder="1" applyProtection="1">
      <protection locked="0"/>
    </xf>
    <xf numFmtId="0" fontId="4" fillId="0" borderId="15" xfId="3" applyNumberFormat="1" applyFont="1" applyFill="1" applyBorder="1"/>
    <xf numFmtId="165" fontId="2" fillId="0" borderId="0" xfId="3" applyNumberFormat="1" applyFill="1" applyBorder="1"/>
    <xf numFmtId="0" fontId="2" fillId="0" borderId="35" xfId="3" applyFill="1" applyBorder="1"/>
    <xf numFmtId="2" fontId="4" fillId="0" borderId="67" xfId="3" applyNumberFormat="1" applyFont="1" applyFill="1" applyBorder="1"/>
    <xf numFmtId="1" fontId="4" fillId="0" borderId="97" xfId="3" applyNumberFormat="1" applyFont="1" applyFill="1" applyBorder="1" applyAlignment="1">
      <alignment horizontal="right"/>
    </xf>
    <xf numFmtId="2" fontId="4" fillId="0" borderId="98" xfId="3" applyNumberFormat="1" applyFont="1" applyFill="1" applyBorder="1"/>
    <xf numFmtId="2" fontId="4" fillId="0" borderId="94" xfId="3" applyNumberFormat="1" applyFont="1" applyFill="1" applyBorder="1"/>
    <xf numFmtId="1" fontId="4" fillId="0" borderId="2" xfId="3" applyNumberFormat="1" applyFont="1" applyFill="1" applyBorder="1" applyAlignment="1">
      <alignment horizontal="right"/>
    </xf>
    <xf numFmtId="2" fontId="4" fillId="0" borderId="2" xfId="3" applyNumberFormat="1" applyFont="1" applyFill="1" applyBorder="1"/>
    <xf numFmtId="2" fontId="47" fillId="0" borderId="7" xfId="3" applyNumberFormat="1" applyFont="1" applyFill="1" applyBorder="1" applyAlignment="1">
      <alignment horizontal="left"/>
    </xf>
    <xf numFmtId="0" fontId="4" fillId="0" borderId="7" xfId="3" applyFont="1" applyFill="1" applyBorder="1"/>
    <xf numFmtId="0" fontId="6" fillId="0" borderId="5" xfId="3" applyFont="1" applyFill="1" applyBorder="1" applyAlignment="1">
      <alignment horizontal="center"/>
    </xf>
    <xf numFmtId="0" fontId="6" fillId="0" borderId="16" xfId="3" applyFont="1" applyBorder="1"/>
    <xf numFmtId="0" fontId="6" fillId="0" borderId="53" xfId="3" applyFont="1" applyBorder="1"/>
    <xf numFmtId="0" fontId="6" fillId="0" borderId="11" xfId="3" applyFont="1" applyBorder="1"/>
    <xf numFmtId="0" fontId="6" fillId="0" borderId="56" xfId="3" applyFont="1" applyBorder="1"/>
    <xf numFmtId="1" fontId="4" fillId="0" borderId="0" xfId="3" applyNumberFormat="1" applyFont="1" applyFill="1" applyBorder="1" applyProtection="1">
      <protection locked="0"/>
    </xf>
    <xf numFmtId="2" fontId="4" fillId="0" borderId="0" xfId="3" applyNumberFormat="1" applyFont="1" applyFill="1" applyBorder="1"/>
    <xf numFmtId="0" fontId="3" fillId="0" borderId="22" xfId="3" applyFont="1" applyBorder="1"/>
    <xf numFmtId="49" fontId="2" fillId="0" borderId="30" xfId="3" applyNumberFormat="1" applyFill="1" applyBorder="1" applyAlignment="1">
      <alignment horizontal="left"/>
    </xf>
    <xf numFmtId="1" fontId="2" fillId="0" borderId="23" xfId="3" applyNumberFormat="1" applyFill="1" applyBorder="1" applyProtection="1">
      <protection locked="0"/>
    </xf>
    <xf numFmtId="49" fontId="2" fillId="0" borderId="11" xfId="3" applyNumberFormat="1" applyFill="1" applyBorder="1" applyAlignment="1">
      <alignment horizontal="left"/>
    </xf>
    <xf numFmtId="1" fontId="2" fillId="0" borderId="58" xfId="3" applyNumberFormat="1" applyFill="1" applyBorder="1" applyProtection="1">
      <protection locked="0"/>
    </xf>
    <xf numFmtId="1" fontId="2" fillId="0" borderId="54" xfId="3" applyNumberFormat="1" applyFill="1" applyBorder="1" applyAlignment="1" applyProtection="1">
      <alignment horizontal="right"/>
      <protection locked="0"/>
    </xf>
    <xf numFmtId="1" fontId="2" fillId="0" borderId="12" xfId="3" applyNumberFormat="1" applyFill="1" applyBorder="1" applyProtection="1">
      <protection locked="0"/>
    </xf>
    <xf numFmtId="49" fontId="2" fillId="0" borderId="30" xfId="3" applyNumberFormat="1" applyFont="1" applyFill="1" applyBorder="1" applyAlignment="1">
      <alignment horizontal="left"/>
    </xf>
    <xf numFmtId="1" fontId="2" fillId="0" borderId="37" xfId="3" applyNumberFormat="1" applyFill="1" applyBorder="1" applyProtection="1">
      <protection locked="0"/>
    </xf>
    <xf numFmtId="1" fontId="2" fillId="0" borderId="38" xfId="3" applyNumberFormat="1" applyFill="1" applyBorder="1" applyProtection="1">
      <protection locked="0"/>
    </xf>
    <xf numFmtId="1" fontId="2" fillId="0" borderId="99" xfId="3" applyNumberFormat="1" applyFont="1" applyFill="1" applyBorder="1" applyProtection="1">
      <protection locked="0"/>
    </xf>
    <xf numFmtId="0" fontId="37" fillId="0" borderId="69" xfId="3" applyFont="1" applyFill="1" applyBorder="1"/>
    <xf numFmtId="165" fontId="3" fillId="0" borderId="89" xfId="3" applyNumberFormat="1" applyFont="1" applyFill="1" applyBorder="1" applyAlignment="1">
      <alignment horizontal="left"/>
    </xf>
    <xf numFmtId="0" fontId="37" fillId="0" borderId="7" xfId="7" applyFont="1" applyFill="1" applyBorder="1" applyAlignment="1">
      <alignment horizontal="left"/>
    </xf>
    <xf numFmtId="0" fontId="37" fillId="0" borderId="8" xfId="7" applyFont="1" applyFill="1" applyBorder="1" applyAlignment="1">
      <alignment horizontal="left"/>
    </xf>
    <xf numFmtId="167" fontId="13" fillId="0" borderId="2" xfId="3" applyNumberFormat="1" applyFont="1" applyFill="1" applyBorder="1" applyAlignment="1">
      <alignment horizontal="right"/>
    </xf>
    <xf numFmtId="0" fontId="12" fillId="0" borderId="0" xfId="3" applyFont="1" applyFill="1" applyBorder="1" applyAlignment="1"/>
    <xf numFmtId="167" fontId="12" fillId="0" borderId="5" xfId="3" applyNumberFormat="1" applyFont="1" applyFill="1" applyBorder="1" applyAlignment="1">
      <alignment horizontal="left"/>
    </xf>
    <xf numFmtId="167" fontId="3" fillId="0" borderId="5" xfId="3" applyNumberFormat="1" applyFont="1" applyFill="1" applyBorder="1" applyAlignment="1">
      <alignment horizontal="left"/>
    </xf>
    <xf numFmtId="0" fontId="3" fillId="0" borderId="1" xfId="3" applyFont="1" applyFill="1" applyBorder="1" applyAlignment="1">
      <alignment horizontal="right"/>
    </xf>
    <xf numFmtId="1" fontId="3" fillId="0" borderId="2" xfId="3" applyNumberFormat="1" applyFont="1" applyFill="1" applyBorder="1" applyAlignment="1"/>
    <xf numFmtId="0" fontId="3" fillId="0" borderId="3" xfId="3" applyFont="1" applyFill="1" applyBorder="1" applyAlignment="1">
      <alignment horizontal="left"/>
    </xf>
    <xf numFmtId="2" fontId="5" fillId="0" borderId="6" xfId="3" applyNumberFormat="1" applyFont="1" applyFill="1" applyBorder="1" applyAlignment="1">
      <alignment horizontal="right"/>
    </xf>
    <xf numFmtId="2" fontId="7" fillId="0" borderId="7" xfId="3" applyNumberFormat="1" applyFont="1" applyFill="1" applyBorder="1" applyAlignment="1">
      <alignment horizontal="center"/>
    </xf>
    <xf numFmtId="2" fontId="5" fillId="0" borderId="8" xfId="3" applyNumberFormat="1" applyFont="1" applyFill="1" applyBorder="1" applyAlignment="1">
      <alignment horizontal="left"/>
    </xf>
    <xf numFmtId="49" fontId="23" fillId="5" borderId="100" xfId="11" applyNumberFormat="1" applyFont="1" applyFill="1" applyBorder="1" applyAlignment="1">
      <alignment horizontal="center" vertical="center" wrapText="1"/>
    </xf>
    <xf numFmtId="49" fontId="23" fillId="0" borderId="100" xfId="11" applyNumberFormat="1" applyFill="1" applyBorder="1" applyAlignment="1">
      <alignment horizontal="center" vertical="center" wrapText="1"/>
    </xf>
    <xf numFmtId="49" fontId="23" fillId="6" borderId="100" xfId="11" applyNumberFormat="1" applyFill="1" applyBorder="1" applyAlignment="1">
      <alignment horizontal="center" vertical="center" wrapText="1"/>
    </xf>
    <xf numFmtId="49" fontId="23" fillId="6" borderId="100" xfId="11" applyNumberFormat="1" applyFont="1" applyFill="1" applyBorder="1" applyAlignment="1">
      <alignment horizontal="center" vertical="center" wrapText="1"/>
    </xf>
    <xf numFmtId="49" fontId="23" fillId="7" borderId="100" xfId="11" applyNumberFormat="1" applyFont="1" applyFill="1" applyBorder="1" applyAlignment="1">
      <alignment horizontal="center" vertical="center" wrapText="1"/>
    </xf>
    <xf numFmtId="49" fontId="23" fillId="7" borderId="100" xfId="11" applyNumberFormat="1" applyFill="1" applyBorder="1" applyAlignment="1">
      <alignment horizontal="center" vertical="center" wrapText="1"/>
    </xf>
    <xf numFmtId="49" fontId="23" fillId="8" borderId="100" xfId="11" applyNumberFormat="1" applyFill="1" applyBorder="1" applyAlignment="1">
      <alignment horizontal="center" vertical="center" wrapText="1"/>
    </xf>
    <xf numFmtId="49" fontId="23" fillId="9" borderId="100" xfId="11" applyNumberFormat="1" applyFont="1" applyFill="1" applyBorder="1" applyAlignment="1">
      <alignment horizontal="center" vertical="center" wrapText="1"/>
    </xf>
    <xf numFmtId="49" fontId="23" fillId="9" borderId="100" xfId="11" applyNumberFormat="1" applyFill="1" applyBorder="1" applyAlignment="1">
      <alignment horizontal="center" vertical="center" wrapText="1"/>
    </xf>
    <xf numFmtId="49" fontId="23" fillId="10" borderId="100" xfId="11" applyNumberFormat="1" applyFill="1" applyBorder="1" applyAlignment="1">
      <alignment horizontal="center" vertical="center" wrapText="1"/>
    </xf>
    <xf numFmtId="49" fontId="23" fillId="11" borderId="100" xfId="11" applyNumberFormat="1" applyFont="1" applyFill="1" applyBorder="1" applyAlignment="1">
      <alignment horizontal="center" vertical="center" wrapText="1"/>
    </xf>
    <xf numFmtId="49" fontId="23" fillId="0" borderId="100" xfId="11" applyNumberFormat="1" applyBorder="1" applyAlignment="1">
      <alignment horizontal="center" vertical="center" wrapText="1"/>
    </xf>
    <xf numFmtId="49" fontId="23" fillId="12" borderId="100" xfId="11" applyNumberFormat="1" applyFont="1" applyFill="1" applyBorder="1" applyAlignment="1">
      <alignment horizontal="center" vertical="center" wrapText="1"/>
    </xf>
    <xf numFmtId="49" fontId="23" fillId="12" borderId="100" xfId="11" applyNumberFormat="1" applyFill="1" applyBorder="1" applyAlignment="1">
      <alignment horizontal="center" vertical="center" wrapText="1"/>
    </xf>
    <xf numFmtId="49" fontId="23" fillId="5" borderId="17" xfId="11" applyNumberFormat="1" applyFill="1" applyBorder="1" applyAlignment="1">
      <alignment horizontal="center" vertical="center"/>
    </xf>
    <xf numFmtId="49" fontId="23" fillId="0" borderId="17" xfId="11" applyNumberFormat="1" applyFont="1" applyFill="1" applyBorder="1" applyAlignment="1">
      <alignment horizontal="center" vertical="center"/>
    </xf>
    <xf numFmtId="165" fontId="52" fillId="6" borderId="17" xfId="11" applyNumberFormat="1" applyFont="1" applyFill="1" applyBorder="1" applyAlignment="1">
      <alignment horizontal="center" vertical="center"/>
    </xf>
    <xf numFmtId="49" fontId="23" fillId="0" borderId="17" xfId="11" applyNumberFormat="1" applyFill="1" applyBorder="1" applyAlignment="1">
      <alignment horizontal="center" vertical="center"/>
    </xf>
    <xf numFmtId="0" fontId="40" fillId="0" borderId="17" xfId="12" applyBorder="1" applyAlignment="1">
      <alignment horizontal="center" vertical="center"/>
    </xf>
    <xf numFmtId="1" fontId="2" fillId="0" borderId="0" xfId="7" applyNumberFormat="1" applyFont="1" applyFill="1" applyBorder="1" applyAlignment="1">
      <alignment horizontal="right"/>
    </xf>
    <xf numFmtId="165" fontId="2" fillId="0" borderId="0" xfId="5" applyNumberFormat="1" applyFont="1" applyFill="1" applyBorder="1"/>
    <xf numFmtId="0" fontId="15" fillId="0" borderId="0" xfId="7" applyFont="1" applyFill="1"/>
    <xf numFmtId="2" fontId="2" fillId="0" borderId="0" xfId="7" applyNumberFormat="1" applyFont="1" applyFill="1" applyBorder="1" applyAlignment="1">
      <alignment horizontal="right"/>
    </xf>
    <xf numFmtId="0" fontId="37" fillId="0" borderId="0" xfId="7" applyFont="1" applyFill="1"/>
    <xf numFmtId="2" fontId="2" fillId="0" borderId="0" xfId="13" applyNumberFormat="1" applyFont="1" applyBorder="1" applyProtection="1">
      <protection locked="0"/>
    </xf>
    <xf numFmtId="2" fontId="2" fillId="0" borderId="0" xfId="13" applyNumberFormat="1" applyFont="1" applyBorder="1"/>
    <xf numFmtId="0" fontId="15" fillId="0" borderId="0" xfId="7" applyFont="1" applyFill="1" applyBorder="1"/>
    <xf numFmtId="0" fontId="53" fillId="0" borderId="0" xfId="7" applyFont="1" applyFill="1" applyBorder="1"/>
    <xf numFmtId="0" fontId="2" fillId="0" borderId="0" xfId="7" applyFont="1" applyFill="1" applyBorder="1" applyAlignment="1">
      <alignment horizontal="left"/>
    </xf>
    <xf numFmtId="0" fontId="2" fillId="0" borderId="0" xfId="5" applyFont="1" applyFill="1"/>
    <xf numFmtId="14" fontId="2" fillId="0" borderId="0" xfId="7" applyNumberFormat="1" applyFont="1" applyFill="1" applyBorder="1"/>
    <xf numFmtId="0" fontId="1" fillId="0" borderId="1" xfId="5" applyFont="1" applyFill="1" applyBorder="1"/>
    <xf numFmtId="0" fontId="1" fillId="0" borderId="2" xfId="5" applyFont="1" applyFill="1" applyBorder="1"/>
    <xf numFmtId="0" fontId="55" fillId="0" borderId="2" xfId="5" applyFont="1" applyFill="1" applyBorder="1" applyAlignment="1">
      <alignment horizontal="centerContinuous"/>
    </xf>
    <xf numFmtId="0" fontId="1" fillId="0" borderId="2" xfId="5" applyFont="1" applyFill="1" applyBorder="1" applyAlignment="1">
      <alignment horizontal="centerContinuous"/>
    </xf>
    <xf numFmtId="0" fontId="2" fillId="0" borderId="3" xfId="5" applyFont="1" applyFill="1" applyBorder="1" applyAlignment="1">
      <alignment horizontal="centerContinuous"/>
    </xf>
    <xf numFmtId="0" fontId="1" fillId="0" borderId="3" xfId="5" applyFont="1" applyFill="1" applyBorder="1"/>
    <xf numFmtId="0" fontId="37" fillId="0" borderId="2" xfId="5" applyFont="1" applyFill="1" applyBorder="1" applyAlignment="1">
      <alignment horizontal="centerContinuous"/>
    </xf>
    <xf numFmtId="0" fontId="2" fillId="0" borderId="2" xfId="5" applyFont="1" applyFill="1" applyBorder="1" applyAlignment="1">
      <alignment horizontal="centerContinuous"/>
    </xf>
    <xf numFmtId="0" fontId="1" fillId="0" borderId="4" xfId="5" applyFont="1" applyFill="1" applyBorder="1"/>
    <xf numFmtId="0" fontId="1" fillId="0" borderId="5" xfId="5" applyFont="1" applyFill="1" applyBorder="1"/>
    <xf numFmtId="0" fontId="55" fillId="0" borderId="8" xfId="5" applyFont="1" applyFill="1" applyBorder="1" applyAlignment="1">
      <alignment horizontal="center"/>
    </xf>
    <xf numFmtId="0" fontId="2" fillId="0" borderId="0" xfId="5" applyFont="1" applyFill="1" applyBorder="1"/>
    <xf numFmtId="0" fontId="2" fillId="0" borderId="7" xfId="5" applyFont="1" applyFill="1" applyBorder="1"/>
    <xf numFmtId="0" fontId="49" fillId="0" borderId="1" xfId="5" applyFont="1" applyFill="1" applyBorder="1"/>
    <xf numFmtId="0" fontId="49" fillId="0" borderId="3" xfId="5" applyFont="1" applyFill="1" applyBorder="1"/>
    <xf numFmtId="0" fontId="49" fillId="0" borderId="0" xfId="5" applyFont="1" applyFill="1" applyBorder="1" applyAlignment="1">
      <alignment horizontal="center"/>
    </xf>
    <xf numFmtId="0" fontId="23" fillId="0" borderId="1" xfId="5" applyFont="1" applyFill="1" applyBorder="1"/>
    <xf numFmtId="0" fontId="23" fillId="0" borderId="2" xfId="5" applyFont="1" applyFill="1" applyBorder="1"/>
    <xf numFmtId="0" fontId="23" fillId="0" borderId="3" xfId="5" applyFont="1" applyFill="1" applyBorder="1"/>
    <xf numFmtId="1" fontId="23" fillId="0" borderId="23" xfId="7" applyNumberFormat="1" applyFont="1" applyFill="1" applyBorder="1" applyAlignment="1">
      <alignment horizontal="center"/>
    </xf>
    <xf numFmtId="2" fontId="23" fillId="0" borderId="24" xfId="5" applyNumberFormat="1" applyFont="1" applyFill="1" applyBorder="1" applyAlignment="1">
      <alignment horizontal="center"/>
    </xf>
    <xf numFmtId="2" fontId="23" fillId="0" borderId="25" xfId="5" applyNumberFormat="1" applyFont="1" applyFill="1" applyBorder="1" applyAlignment="1">
      <alignment horizontal="center"/>
    </xf>
    <xf numFmtId="0" fontId="23" fillId="0" borderId="0" xfId="7" applyFont="1" applyFill="1"/>
    <xf numFmtId="0" fontId="23" fillId="0" borderId="4" xfId="5" applyFont="1" applyFill="1" applyBorder="1" applyAlignment="1">
      <alignment textRotation="90"/>
    </xf>
    <xf numFmtId="0" fontId="23" fillId="0" borderId="5" xfId="5" applyFont="1" applyFill="1" applyBorder="1"/>
    <xf numFmtId="0" fontId="23" fillId="0" borderId="0" xfId="5" applyFont="1" applyFill="1" applyBorder="1"/>
    <xf numFmtId="0" fontId="23" fillId="0" borderId="4" xfId="5" applyFont="1" applyFill="1" applyBorder="1"/>
    <xf numFmtId="0" fontId="23" fillId="0" borderId="33" xfId="5" applyFont="1" applyFill="1" applyBorder="1" applyAlignment="1">
      <alignment horizontal="left"/>
    </xf>
    <xf numFmtId="0" fontId="23" fillId="0" borderId="20" xfId="5" applyFont="1" applyFill="1" applyBorder="1"/>
    <xf numFmtId="1" fontId="23" fillId="0" borderId="44" xfId="7" applyNumberFormat="1" applyFont="1" applyFill="1" applyBorder="1" applyAlignment="1">
      <alignment horizontal="center"/>
    </xf>
    <xf numFmtId="2" fontId="23" fillId="0" borderId="45" xfId="5" applyNumberFormat="1" applyFont="1" applyFill="1" applyBorder="1" applyAlignment="1">
      <alignment horizontal="center"/>
    </xf>
    <xf numFmtId="2" fontId="23" fillId="0" borderId="46" xfId="5" applyNumberFormat="1" applyFont="1" applyFill="1" applyBorder="1" applyAlignment="1">
      <alignment horizontal="center"/>
    </xf>
    <xf numFmtId="165" fontId="23" fillId="0" borderId="5" xfId="5" applyNumberFormat="1" applyFont="1" applyFill="1" applyBorder="1"/>
    <xf numFmtId="0" fontId="23" fillId="0" borderId="33" xfId="5" applyFont="1" applyFill="1" applyBorder="1"/>
    <xf numFmtId="1" fontId="23" fillId="0" borderId="22" xfId="7" applyNumberFormat="1" applyFont="1" applyFill="1" applyBorder="1" applyAlignment="1">
      <alignment horizontal="center"/>
    </xf>
    <xf numFmtId="2" fontId="23" fillId="0" borderId="51" xfId="2" applyNumberFormat="1" applyFont="1" applyFill="1" applyBorder="1" applyAlignment="1" applyProtection="1">
      <alignment horizontal="center"/>
      <protection locked="0"/>
    </xf>
    <xf numFmtId="2" fontId="23" fillId="0" borderId="52" xfId="2" applyNumberFormat="1" applyFont="1" applyFill="1" applyBorder="1" applyAlignment="1">
      <alignment horizontal="center"/>
    </xf>
    <xf numFmtId="0" fontId="23" fillId="0" borderId="4" xfId="7" applyFont="1" applyFill="1" applyBorder="1" applyAlignment="1">
      <alignment textRotation="90"/>
    </xf>
    <xf numFmtId="0" fontId="23" fillId="0" borderId="5" xfId="7" applyFont="1" applyFill="1" applyBorder="1"/>
    <xf numFmtId="0" fontId="23" fillId="0" borderId="0" xfId="7" applyFont="1" applyFill="1" applyBorder="1" applyAlignment="1">
      <alignment horizontal="center"/>
    </xf>
    <xf numFmtId="0" fontId="23" fillId="0" borderId="14" xfId="7" applyFont="1" applyFill="1" applyBorder="1"/>
    <xf numFmtId="0" fontId="23" fillId="0" borderId="13" xfId="7" applyFont="1" applyFill="1" applyBorder="1"/>
    <xf numFmtId="0" fontId="23" fillId="0" borderId="15" xfId="7" applyFont="1" applyFill="1" applyBorder="1"/>
    <xf numFmtId="0" fontId="23" fillId="0" borderId="14" xfId="8" applyNumberFormat="1" applyFont="1" applyFill="1" applyBorder="1" applyAlignment="1">
      <alignment horizontal="center"/>
    </xf>
    <xf numFmtId="0" fontId="23" fillId="0" borderId="13" xfId="8" applyNumberFormat="1" applyFont="1" applyFill="1" applyBorder="1" applyAlignment="1" applyProtection="1">
      <alignment horizontal="center"/>
      <protection locked="0"/>
    </xf>
    <xf numFmtId="0" fontId="23" fillId="0" borderId="15" xfId="7" applyNumberFormat="1" applyFont="1" applyFill="1" applyBorder="1"/>
    <xf numFmtId="165" fontId="23" fillId="0" borderId="5" xfId="7" applyNumberFormat="1" applyFont="1" applyFill="1" applyBorder="1"/>
    <xf numFmtId="0" fontId="23" fillId="0" borderId="4" xfId="7" applyFont="1" applyFill="1" applyBorder="1"/>
    <xf numFmtId="0" fontId="23" fillId="0" borderId="0" xfId="7" applyFont="1" applyFill="1" applyBorder="1"/>
    <xf numFmtId="0" fontId="23" fillId="0" borderId="1" xfId="7" applyFont="1" applyFill="1" applyBorder="1"/>
    <xf numFmtId="0" fontId="23" fillId="0" borderId="19" xfId="7" applyFont="1" applyFill="1" applyBorder="1"/>
    <xf numFmtId="1" fontId="23" fillId="0" borderId="65" xfId="7" applyNumberFormat="1" applyFont="1" applyFill="1" applyBorder="1" applyAlignment="1">
      <alignment horizontal="center"/>
    </xf>
    <xf numFmtId="165" fontId="23" fillId="0" borderId="77" xfId="5" applyNumberFormat="1" applyFont="1" applyFill="1" applyBorder="1" applyAlignment="1" applyProtection="1">
      <alignment horizontal="center"/>
      <protection locked="0"/>
    </xf>
    <xf numFmtId="2" fontId="23" fillId="0" borderId="67" xfId="7" applyNumberFormat="1" applyFont="1" applyFill="1" applyBorder="1"/>
    <xf numFmtId="0" fontId="23" fillId="0" borderId="33" xfId="7" applyFont="1" applyFill="1" applyBorder="1" applyAlignment="1">
      <alignment horizontal="left"/>
    </xf>
    <xf numFmtId="0" fontId="23" fillId="0" borderId="56" xfId="7" applyFont="1" applyFill="1" applyBorder="1"/>
    <xf numFmtId="1" fontId="23" fillId="0" borderId="81" xfId="7" applyNumberFormat="1" applyFont="1" applyFill="1" applyBorder="1" applyAlignment="1">
      <alignment horizontal="center"/>
    </xf>
    <xf numFmtId="165" fontId="23" fillId="0" borderId="101" xfId="5" applyNumberFormat="1" applyFont="1" applyFill="1" applyBorder="1" applyAlignment="1" applyProtection="1">
      <alignment horizontal="center"/>
      <protection locked="0"/>
    </xf>
    <xf numFmtId="0" fontId="23" fillId="0" borderId="83" xfId="7" applyFont="1" applyFill="1" applyBorder="1"/>
    <xf numFmtId="0" fontId="23" fillId="0" borderId="20" xfId="7" applyFont="1" applyFill="1" applyBorder="1"/>
    <xf numFmtId="165" fontId="23" fillId="0" borderId="82" xfId="5" applyNumberFormat="1" applyFont="1" applyFill="1" applyBorder="1" applyAlignment="1" applyProtection="1">
      <alignment horizontal="center"/>
      <protection locked="0"/>
    </xf>
    <xf numFmtId="165" fontId="23" fillId="0" borderId="83" xfId="7" applyNumberFormat="1" applyFont="1" applyFill="1" applyBorder="1"/>
    <xf numFmtId="0" fontId="23" fillId="0" borderId="10" xfId="7" applyFont="1" applyFill="1" applyBorder="1" applyAlignment="1">
      <alignment horizontal="center"/>
    </xf>
    <xf numFmtId="1" fontId="23" fillId="0" borderId="13" xfId="7" applyNumberFormat="1" applyFont="1" applyFill="1" applyBorder="1" applyAlignment="1">
      <alignment horizontal="right"/>
    </xf>
    <xf numFmtId="0" fontId="23" fillId="0" borderId="13" xfId="7" applyNumberFormat="1" applyFont="1" applyFill="1" applyBorder="1" applyAlignment="1" applyProtection="1">
      <alignment horizontal="center"/>
      <protection locked="0"/>
    </xf>
    <xf numFmtId="0" fontId="49" fillId="0" borderId="1" xfId="7" applyFont="1" applyFill="1" applyBorder="1"/>
    <xf numFmtId="0" fontId="49" fillId="0" borderId="2" xfId="7" applyFont="1" applyFill="1" applyBorder="1"/>
    <xf numFmtId="0" fontId="23" fillId="0" borderId="26" xfId="7" applyFont="1" applyFill="1" applyBorder="1" applyAlignment="1">
      <alignment horizontal="center"/>
    </xf>
    <xf numFmtId="0" fontId="23" fillId="0" borderId="2" xfId="7" applyFont="1" applyFill="1" applyBorder="1"/>
    <xf numFmtId="0" fontId="23" fillId="0" borderId="9" xfId="7" applyFont="1" applyFill="1" applyBorder="1" applyAlignment="1">
      <alignment horizontal="center"/>
    </xf>
    <xf numFmtId="0" fontId="23" fillId="0" borderId="30" xfId="7" applyFont="1" applyFill="1" applyBorder="1"/>
    <xf numFmtId="165" fontId="23" fillId="0" borderId="0" xfId="7" applyNumberFormat="1" applyFont="1" applyFill="1" applyBorder="1"/>
    <xf numFmtId="0" fontId="2" fillId="0" borderId="4" xfId="7" applyFont="1" applyFill="1" applyBorder="1" applyAlignment="1">
      <alignment textRotation="90"/>
    </xf>
    <xf numFmtId="165" fontId="2" fillId="0" borderId="0" xfId="7" applyNumberFormat="1" applyFont="1" applyFill="1" applyBorder="1"/>
    <xf numFmtId="0" fontId="2" fillId="0" borderId="9" xfId="7" applyFont="1" applyFill="1" applyBorder="1"/>
    <xf numFmtId="0" fontId="2" fillId="0" borderId="4" xfId="7" applyFont="1" applyFill="1" applyBorder="1"/>
    <xf numFmtId="0" fontId="2" fillId="0" borderId="1" xfId="7" applyFont="1" applyFill="1" applyBorder="1"/>
    <xf numFmtId="0" fontId="2" fillId="0" borderId="19" xfId="7" applyFont="1" applyFill="1" applyBorder="1"/>
    <xf numFmtId="0" fontId="2" fillId="0" borderId="9" xfId="7" applyFont="1" applyFill="1" applyBorder="1" applyAlignment="1">
      <alignment horizontal="center"/>
    </xf>
    <xf numFmtId="0" fontId="2" fillId="0" borderId="5" xfId="7" applyFont="1" applyFill="1" applyBorder="1"/>
    <xf numFmtId="0" fontId="2" fillId="0" borderId="33" xfId="7" applyFont="1" applyFill="1" applyBorder="1" applyAlignment="1">
      <alignment horizontal="left"/>
    </xf>
    <xf numFmtId="0" fontId="2" fillId="0" borderId="11" xfId="7" applyFont="1" applyFill="1" applyBorder="1"/>
    <xf numFmtId="0" fontId="2" fillId="0" borderId="33" xfId="5" applyFont="1" applyFill="1" applyBorder="1"/>
    <xf numFmtId="0" fontId="2" fillId="0" borderId="35" xfId="7" applyFont="1" applyFill="1" applyBorder="1"/>
    <xf numFmtId="0" fontId="2" fillId="0" borderId="10" xfId="7" applyFont="1" applyFill="1" applyBorder="1"/>
    <xf numFmtId="0" fontId="2" fillId="0" borderId="14" xfId="7" applyFont="1" applyFill="1" applyBorder="1"/>
    <xf numFmtId="0" fontId="2" fillId="0" borderId="13" xfId="7" applyFont="1" applyFill="1" applyBorder="1"/>
    <xf numFmtId="0" fontId="2" fillId="0" borderId="15" xfId="7" applyFont="1" applyFill="1" applyBorder="1"/>
    <xf numFmtId="1" fontId="2" fillId="0" borderId="13" xfId="7" applyNumberFormat="1" applyFont="1" applyFill="1" applyBorder="1" applyAlignment="1">
      <alignment horizontal="right"/>
    </xf>
    <xf numFmtId="0" fontId="2" fillId="0" borderId="13" xfId="7" applyNumberFormat="1" applyFont="1" applyFill="1" applyBorder="1" applyAlignment="1" applyProtection="1">
      <alignment horizontal="center"/>
      <protection locked="0"/>
    </xf>
    <xf numFmtId="0" fontId="2" fillId="0" borderId="15" xfId="7" applyNumberFormat="1" applyFont="1" applyFill="1" applyBorder="1"/>
    <xf numFmtId="0" fontId="2" fillId="0" borderId="2" xfId="7" applyFont="1" applyFill="1" applyBorder="1"/>
    <xf numFmtId="0" fontId="2" fillId="0" borderId="32" xfId="7" applyFont="1" applyFill="1" applyBorder="1"/>
    <xf numFmtId="0" fontId="2" fillId="0" borderId="20" xfId="7" applyFont="1" applyFill="1" applyBorder="1"/>
    <xf numFmtId="0" fontId="37" fillId="0" borderId="1" xfId="7" applyFont="1" applyFill="1" applyBorder="1" applyAlignment="1">
      <alignment horizontal="left"/>
    </xf>
    <xf numFmtId="2" fontId="2" fillId="0" borderId="3" xfId="7" applyNumberFormat="1" applyFont="1" applyFill="1" applyBorder="1" applyAlignment="1">
      <alignment horizontal="left"/>
    </xf>
    <xf numFmtId="0" fontId="2" fillId="0" borderId="3" xfId="7" applyFont="1" applyFill="1" applyBorder="1"/>
    <xf numFmtId="1" fontId="2" fillId="0" borderId="2" xfId="7" applyNumberFormat="1" applyFont="1" applyFill="1" applyBorder="1" applyAlignment="1">
      <alignment horizontal="right"/>
    </xf>
    <xf numFmtId="165" fontId="2" fillId="0" borderId="2" xfId="7" applyNumberFormat="1" applyFont="1" applyFill="1" applyBorder="1"/>
    <xf numFmtId="0" fontId="37" fillId="0" borderId="4" xfId="7" applyFont="1" applyFill="1" applyBorder="1" applyAlignment="1">
      <alignment horizontal="left"/>
    </xf>
    <xf numFmtId="2" fontId="47" fillId="0" borderId="5" xfId="7" applyNumberFormat="1" applyFont="1" applyFill="1" applyBorder="1" applyAlignment="1">
      <alignment horizontal="left"/>
    </xf>
    <xf numFmtId="0" fontId="37" fillId="0" borderId="6" xfId="7" applyFont="1" applyFill="1" applyBorder="1" applyAlignment="1">
      <alignment horizontal="left"/>
    </xf>
    <xf numFmtId="0" fontId="2" fillId="0" borderId="7" xfId="7" applyFont="1" applyFill="1" applyBorder="1"/>
    <xf numFmtId="2" fontId="47" fillId="0" borderId="8" xfId="7" applyNumberFormat="1" applyFont="1" applyFill="1" applyBorder="1" applyAlignment="1">
      <alignment horizontal="left"/>
    </xf>
    <xf numFmtId="0" fontId="2" fillId="0" borderId="8" xfId="7" applyFont="1" applyFill="1" applyBorder="1"/>
    <xf numFmtId="0" fontId="1" fillId="0" borderId="1" xfId="7" applyFont="1" applyFill="1" applyBorder="1"/>
    <xf numFmtId="0" fontId="55" fillId="0" borderId="2" xfId="7" applyFont="1" applyFill="1" applyBorder="1" applyAlignment="1">
      <alignment horizontal="center"/>
    </xf>
    <xf numFmtId="1" fontId="2" fillId="0" borderId="0" xfId="7" applyNumberFormat="1" applyFont="1" applyFill="1" applyBorder="1"/>
    <xf numFmtId="1" fontId="2" fillId="0" borderId="0" xfId="7" applyNumberFormat="1" applyFont="1" applyFill="1" applyBorder="1" applyProtection="1">
      <protection locked="0"/>
    </xf>
    <xf numFmtId="0" fontId="1" fillId="0" borderId="0" xfId="7" applyFont="1" applyFill="1" applyBorder="1"/>
    <xf numFmtId="0" fontId="37" fillId="0" borderId="0" xfId="7" applyFont="1" applyFill="1" applyBorder="1" applyAlignment="1">
      <alignment horizontal="center"/>
    </xf>
    <xf numFmtId="0" fontId="2" fillId="0" borderId="32" xfId="7" applyFont="1" applyFill="1" applyBorder="1" applyAlignment="1">
      <alignment horizontal="left"/>
    </xf>
    <xf numFmtId="49" fontId="2" fillId="0" borderId="57" xfId="4" applyNumberFormat="1" applyFont="1" applyFill="1" applyBorder="1" applyAlignment="1">
      <alignment horizontal="left"/>
    </xf>
    <xf numFmtId="0" fontId="1" fillId="0" borderId="31" xfId="7" applyFont="1" applyFill="1" applyBorder="1"/>
    <xf numFmtId="2" fontId="35" fillId="0" borderId="40" xfId="7" applyNumberFormat="1" applyFont="1" applyFill="1" applyBorder="1"/>
    <xf numFmtId="1" fontId="35" fillId="0" borderId="41" xfId="7" applyNumberFormat="1" applyFont="1" applyFill="1" applyBorder="1"/>
    <xf numFmtId="2" fontId="35" fillId="0" borderId="41" xfId="7" applyNumberFormat="1" applyFont="1" applyFill="1" applyBorder="1"/>
    <xf numFmtId="1" fontId="35" fillId="0" borderId="42" xfId="7" applyNumberFormat="1" applyFont="1" applyFill="1" applyBorder="1"/>
    <xf numFmtId="1" fontId="2" fillId="0" borderId="23" xfId="7" applyNumberFormat="1" applyFont="1" applyFill="1" applyBorder="1" applyAlignment="1">
      <alignment horizontal="center"/>
    </xf>
    <xf numFmtId="0" fontId="2" fillId="0" borderId="12" xfId="7" applyFont="1" applyFill="1" applyBorder="1" applyAlignment="1">
      <alignment horizontal="left"/>
    </xf>
    <xf numFmtId="49" fontId="2" fillId="0" borderId="59" xfId="4" applyNumberFormat="1" applyFont="1" applyFill="1" applyBorder="1" applyAlignment="1">
      <alignment horizontal="left"/>
    </xf>
    <xf numFmtId="0" fontId="1" fillId="0" borderId="30" xfId="7" applyFont="1" applyFill="1" applyBorder="1"/>
    <xf numFmtId="2" fontId="35" fillId="0" borderId="12" xfId="7" applyNumberFormat="1" applyFont="1" applyFill="1" applyBorder="1"/>
    <xf numFmtId="1" fontId="35" fillId="0" borderId="17" xfId="7" applyNumberFormat="1" applyFont="1" applyFill="1" applyBorder="1"/>
    <xf numFmtId="2" fontId="35" fillId="0" borderId="17" xfId="7" applyNumberFormat="1" applyFont="1" applyFill="1" applyBorder="1"/>
    <xf numFmtId="1" fontId="35" fillId="0" borderId="18" xfId="7" applyNumberFormat="1" applyFont="1" applyFill="1" applyBorder="1"/>
    <xf numFmtId="1" fontId="2" fillId="0" borderId="58" xfId="7" applyNumberFormat="1" applyFont="1" applyFill="1" applyBorder="1" applyAlignment="1">
      <alignment horizontal="center"/>
    </xf>
    <xf numFmtId="2" fontId="23" fillId="0" borderId="17" xfId="5" applyNumberFormat="1" applyFont="1" applyFill="1" applyBorder="1" applyAlignment="1">
      <alignment horizontal="center"/>
    </xf>
    <xf numFmtId="2" fontId="23" fillId="0" borderId="18" xfId="5" applyNumberFormat="1" applyFont="1" applyFill="1" applyBorder="1" applyAlignment="1">
      <alignment horizontal="center"/>
    </xf>
    <xf numFmtId="49" fontId="2" fillId="0" borderId="60" xfId="4" applyNumberFormat="1" applyFont="1" applyFill="1" applyBorder="1" applyAlignment="1">
      <alignment horizontal="left"/>
    </xf>
    <xf numFmtId="49" fontId="2" fillId="0" borderId="60" xfId="4" applyNumberFormat="1" applyFont="1" applyFill="1" applyBorder="1"/>
    <xf numFmtId="0" fontId="2" fillId="0" borderId="27" xfId="7" applyFont="1" applyFill="1" applyBorder="1" applyAlignment="1">
      <alignment horizontal="left"/>
    </xf>
    <xf numFmtId="49" fontId="2" fillId="0" borderId="64" xfId="4" applyNumberFormat="1" applyFont="1" applyFill="1" applyBorder="1"/>
    <xf numFmtId="0" fontId="1" fillId="0" borderId="36" xfId="7" applyFont="1" applyFill="1" applyBorder="1"/>
    <xf numFmtId="2" fontId="35" fillId="0" borderId="22" xfId="7" applyNumberFormat="1" applyFont="1" applyFill="1" applyBorder="1"/>
    <xf numFmtId="1" fontId="35" fillId="0" borderId="51" xfId="7" applyNumberFormat="1" applyFont="1" applyFill="1" applyBorder="1"/>
    <xf numFmtId="2" fontId="35" fillId="0" borderId="51" xfId="7" applyNumberFormat="1" applyFont="1" applyFill="1" applyBorder="1"/>
    <xf numFmtId="1" fontId="35" fillId="0" borderId="52" xfId="7" applyNumberFormat="1" applyFont="1" applyFill="1" applyBorder="1"/>
    <xf numFmtId="1" fontId="2" fillId="0" borderId="37" xfId="7" applyNumberFormat="1" applyFont="1" applyFill="1" applyBorder="1" applyAlignment="1">
      <alignment horizontal="center"/>
    </xf>
    <xf numFmtId="0" fontId="2" fillId="0" borderId="31" xfId="7" applyFont="1" applyFill="1" applyBorder="1"/>
    <xf numFmtId="0" fontId="1" fillId="0" borderId="19" xfId="7" applyFont="1" applyFill="1" applyBorder="1"/>
    <xf numFmtId="2" fontId="2" fillId="0" borderId="11" xfId="7" applyNumberFormat="1" applyFont="1" applyFill="1" applyBorder="1"/>
    <xf numFmtId="1" fontId="2" fillId="0" borderId="11" xfId="7" applyNumberFormat="1" applyFont="1" applyFill="1" applyBorder="1"/>
    <xf numFmtId="1" fontId="2" fillId="0" borderId="56" xfId="7" applyNumberFormat="1" applyFont="1" applyFill="1" applyBorder="1"/>
    <xf numFmtId="0" fontId="2" fillId="0" borderId="36" xfId="7" applyFont="1" applyFill="1" applyBorder="1"/>
    <xf numFmtId="0" fontId="1" fillId="0" borderId="21" xfId="7" applyFont="1" applyFill="1" applyBorder="1"/>
    <xf numFmtId="2" fontId="2" fillId="0" borderId="27" xfId="7" applyNumberFormat="1" applyFont="1" applyFill="1" applyBorder="1"/>
    <xf numFmtId="1" fontId="2" fillId="0" borderId="36" xfId="7" applyNumberFormat="1" applyFont="1" applyFill="1" applyBorder="1"/>
    <xf numFmtId="2" fontId="2" fillId="0" borderId="36" xfId="7" applyNumberFormat="1" applyFont="1" applyFill="1" applyBorder="1"/>
    <xf numFmtId="1" fontId="2" fillId="0" borderId="21" xfId="7" applyNumberFormat="1" applyFont="1" applyFill="1" applyBorder="1"/>
    <xf numFmtId="0" fontId="1" fillId="0" borderId="13" xfId="7" applyFont="1" applyFill="1" applyBorder="1"/>
    <xf numFmtId="2" fontId="2" fillId="0" borderId="13" xfId="7" applyNumberFormat="1" applyFont="1" applyFill="1" applyBorder="1"/>
    <xf numFmtId="1" fontId="2" fillId="0" borderId="13" xfId="7" applyNumberFormat="1" applyFont="1" applyFill="1" applyBorder="1"/>
    <xf numFmtId="1" fontId="2" fillId="0" borderId="15" xfId="7" applyNumberFormat="1" applyFont="1" applyFill="1" applyBorder="1"/>
    <xf numFmtId="1" fontId="2" fillId="0" borderId="86" xfId="7" applyNumberFormat="1" applyFont="1" applyFill="1" applyBorder="1" applyAlignment="1" applyProtection="1">
      <alignment horizontal="center"/>
      <protection locked="0"/>
    </xf>
    <xf numFmtId="2" fontId="2" fillId="0" borderId="87" xfId="7" applyNumberFormat="1" applyFont="1" applyFill="1" applyBorder="1" applyAlignment="1">
      <alignment horizontal="center"/>
    </xf>
    <xf numFmtId="2" fontId="2" fillId="0" borderId="88" xfId="7" applyNumberFormat="1" applyFont="1" applyFill="1" applyBorder="1" applyAlignment="1">
      <alignment horizontal="center"/>
    </xf>
    <xf numFmtId="2" fontId="1" fillId="0" borderId="0" xfId="7" applyNumberFormat="1" applyFont="1" applyFill="1" applyBorder="1"/>
    <xf numFmtId="1" fontId="1" fillId="0" borderId="0" xfId="7" applyNumberFormat="1" applyFont="1" applyFill="1" applyBorder="1"/>
    <xf numFmtId="0" fontId="2" fillId="0" borderId="23" xfId="7" applyFont="1" applyFill="1" applyBorder="1" applyAlignment="1">
      <alignment horizontal="left"/>
    </xf>
    <xf numFmtId="49" fontId="2" fillId="0" borderId="57" xfId="4" applyNumberFormat="1" applyFont="1" applyFill="1" applyBorder="1"/>
    <xf numFmtId="165" fontId="2" fillId="0" borderId="43" xfId="7" applyNumberFormat="1" applyFont="1" applyFill="1" applyBorder="1"/>
    <xf numFmtId="1" fontId="2" fillId="0" borderId="24" xfId="7" applyNumberFormat="1" applyFont="1" applyFill="1" applyBorder="1"/>
    <xf numFmtId="165" fontId="2" fillId="0" borderId="24" xfId="7" applyNumberFormat="1" applyFont="1" applyFill="1" applyBorder="1"/>
    <xf numFmtId="165" fontId="2" fillId="0" borderId="25" xfId="7" applyNumberFormat="1" applyFont="1" applyFill="1" applyBorder="1"/>
    <xf numFmtId="2" fontId="2" fillId="0" borderId="43" xfId="7" applyNumberFormat="1" applyFont="1" applyFill="1" applyBorder="1" applyAlignment="1">
      <alignment horizontal="center"/>
    </xf>
    <xf numFmtId="2" fontId="2" fillId="0" borderId="19" xfId="7" applyNumberFormat="1" applyFont="1" applyFill="1" applyBorder="1" applyAlignment="1">
      <alignment horizontal="center"/>
    </xf>
    <xf numFmtId="0" fontId="2" fillId="0" borderId="59" xfId="4" applyFont="1" applyFill="1" applyBorder="1"/>
    <xf numFmtId="0" fontId="1" fillId="0" borderId="20" xfId="7" applyFont="1" applyFill="1" applyBorder="1"/>
    <xf numFmtId="2" fontId="35" fillId="0" borderId="48" xfId="7" applyNumberFormat="1" applyFont="1" applyFill="1" applyBorder="1"/>
    <xf numFmtId="2" fontId="2" fillId="0" borderId="54" xfId="7" applyNumberFormat="1" applyFont="1" applyFill="1" applyBorder="1" applyAlignment="1">
      <alignment horizontal="center"/>
    </xf>
    <xf numFmtId="2" fontId="2" fillId="0" borderId="55" xfId="7" applyNumberFormat="1" applyFont="1" applyFill="1" applyBorder="1" applyAlignment="1">
      <alignment horizontal="center"/>
    </xf>
    <xf numFmtId="49" fontId="2" fillId="0" borderId="59" xfId="4" applyNumberFormat="1" applyFont="1" applyFill="1" applyBorder="1"/>
    <xf numFmtId="165" fontId="35" fillId="0" borderId="48" xfId="7" applyNumberFormat="1" applyFont="1" applyFill="1" applyBorder="1"/>
    <xf numFmtId="165" fontId="35" fillId="0" borderId="17" xfId="7" applyNumberFormat="1" applyFont="1" applyFill="1" applyBorder="1"/>
    <xf numFmtId="165" fontId="35" fillId="0" borderId="18" xfId="7" applyNumberFormat="1" applyFont="1" applyFill="1" applyBorder="1"/>
    <xf numFmtId="1" fontId="23" fillId="0" borderId="12" xfId="7" applyNumberFormat="1" applyFont="1" applyFill="1" applyBorder="1" applyAlignment="1">
      <alignment horizontal="center"/>
    </xf>
    <xf numFmtId="2" fontId="23" fillId="0" borderId="17" xfId="7" applyNumberFormat="1" applyFont="1" applyFill="1" applyBorder="1" applyAlignment="1">
      <alignment horizontal="center"/>
    </xf>
    <xf numFmtId="2" fontId="23" fillId="0" borderId="18" xfId="7" applyNumberFormat="1" applyFont="1" applyFill="1" applyBorder="1" applyAlignment="1">
      <alignment horizontal="center"/>
    </xf>
    <xf numFmtId="0" fontId="2" fillId="0" borderId="58" xfId="7" applyFont="1" applyFill="1" applyBorder="1" applyAlignment="1">
      <alignment horizontal="left"/>
    </xf>
    <xf numFmtId="0" fontId="1" fillId="0" borderId="56" xfId="7" applyFont="1" applyFill="1" applyBorder="1"/>
    <xf numFmtId="1" fontId="2" fillId="0" borderId="12" xfId="7" applyNumberFormat="1" applyFont="1" applyFill="1" applyBorder="1" applyAlignment="1">
      <alignment horizontal="center"/>
    </xf>
    <xf numFmtId="2" fontId="2" fillId="0" borderId="17" xfId="7" applyNumberFormat="1" applyFont="1" applyFill="1" applyBorder="1" applyAlignment="1">
      <alignment horizontal="center"/>
    </xf>
    <xf numFmtId="2" fontId="2" fillId="0" borderId="18" xfId="7" applyNumberFormat="1" applyFont="1" applyFill="1" applyBorder="1" applyAlignment="1">
      <alignment horizontal="center"/>
    </xf>
    <xf numFmtId="0" fontId="2" fillId="0" borderId="16" xfId="7" applyFont="1" applyFill="1" applyBorder="1" applyAlignment="1">
      <alignment horizontal="left"/>
    </xf>
    <xf numFmtId="2" fontId="35" fillId="0" borderId="71" xfId="7" applyNumberFormat="1" applyFont="1" applyFill="1" applyBorder="1"/>
    <xf numFmtId="2" fontId="2" fillId="0" borderId="38" xfId="7" applyNumberFormat="1" applyFont="1" applyFill="1" applyBorder="1" applyAlignment="1">
      <alignment horizontal="center"/>
    </xf>
    <xf numFmtId="2" fontId="2" fillId="0" borderId="39" xfId="7" applyNumberFormat="1" applyFont="1" applyFill="1" applyBorder="1" applyAlignment="1">
      <alignment horizontal="center"/>
    </xf>
    <xf numFmtId="2" fontId="2" fillId="0" borderId="31" xfId="7" applyNumberFormat="1" applyFont="1" applyFill="1" applyBorder="1"/>
    <xf numFmtId="1" fontId="2" fillId="0" borderId="31" xfId="7" applyNumberFormat="1" applyFont="1" applyFill="1" applyBorder="1"/>
    <xf numFmtId="1" fontId="2" fillId="0" borderId="19" xfId="7" applyNumberFormat="1" applyFont="1" applyFill="1" applyBorder="1"/>
    <xf numFmtId="0" fontId="2" fillId="0" borderId="34" xfId="9" applyFont="1" applyFill="1" applyBorder="1" applyAlignment="1"/>
    <xf numFmtId="0" fontId="1" fillId="0" borderId="63" xfId="7" applyFont="1" applyFill="1" applyBorder="1"/>
    <xf numFmtId="2" fontId="2" fillId="0" borderId="34" xfId="7" applyNumberFormat="1" applyFont="1" applyFill="1" applyBorder="1"/>
    <xf numFmtId="1" fontId="2" fillId="0" borderId="35" xfId="7" applyNumberFormat="1" applyFont="1" applyFill="1" applyBorder="1"/>
    <xf numFmtId="2" fontId="2" fillId="0" borderId="35" xfId="7" applyNumberFormat="1" applyFont="1" applyFill="1" applyBorder="1"/>
    <xf numFmtId="0" fontId="2" fillId="0" borderId="0" xfId="9" applyFont="1" applyFill="1" applyBorder="1"/>
    <xf numFmtId="0" fontId="2" fillId="0" borderId="6" xfId="7" applyFont="1" applyFill="1" applyBorder="1"/>
    <xf numFmtId="0" fontId="37" fillId="0" borderId="0" xfId="7" applyFont="1" applyFill="1" applyBorder="1"/>
    <xf numFmtId="0" fontId="1" fillId="0" borderId="0" xfId="7" applyFont="1" applyFill="1" applyBorder="1" applyAlignment="1">
      <alignment horizontal="center"/>
    </xf>
    <xf numFmtId="2" fontId="37" fillId="0" borderId="0" xfId="7" applyNumberFormat="1" applyFont="1" applyFill="1" applyBorder="1" applyAlignment="1">
      <alignment horizontal="center"/>
    </xf>
    <xf numFmtId="0" fontId="2" fillId="0" borderId="0" xfId="7" applyFont="1" applyFill="1" applyBorder="1" applyAlignment="1">
      <alignment horizontal="center"/>
    </xf>
    <xf numFmtId="0" fontId="2" fillId="0" borderId="26" xfId="7" applyFont="1" applyFill="1" applyBorder="1"/>
    <xf numFmtId="0" fontId="37" fillId="0" borderId="32" xfId="7" applyFont="1" applyFill="1" applyBorder="1"/>
    <xf numFmtId="167" fontId="35" fillId="0" borderId="65" xfId="7" applyNumberFormat="1" applyFont="1" applyFill="1" applyBorder="1" applyAlignment="1">
      <alignment horizontal="right"/>
    </xf>
    <xf numFmtId="49" fontId="35" fillId="0" borderId="66" xfId="7" applyNumberFormat="1" applyFont="1" applyFill="1" applyBorder="1" applyAlignment="1">
      <alignment horizontal="center"/>
    </xf>
    <xf numFmtId="167" fontId="35" fillId="0" borderId="67" xfId="7" applyNumberFormat="1" applyFont="1" applyFill="1" applyBorder="1" applyAlignment="1">
      <alignment horizontal="left"/>
    </xf>
    <xf numFmtId="0" fontId="37" fillId="0" borderId="33" xfId="7" applyFont="1" applyFill="1" applyBorder="1"/>
    <xf numFmtId="0" fontId="2" fillId="0" borderId="30" xfId="7" applyFont="1" applyFill="1" applyBorder="1"/>
    <xf numFmtId="0" fontId="37" fillId="0" borderId="30" xfId="7" applyFont="1" applyFill="1" applyBorder="1"/>
    <xf numFmtId="167" fontId="35" fillId="0" borderId="6" xfId="7" applyNumberFormat="1" applyFont="1" applyFill="1" applyBorder="1" applyAlignment="1">
      <alignment horizontal="right"/>
    </xf>
    <xf numFmtId="49" fontId="35" fillId="0" borderId="7" xfId="7" applyNumberFormat="1" applyFont="1" applyFill="1" applyBorder="1" applyAlignment="1">
      <alignment horizontal="center"/>
    </xf>
    <xf numFmtId="167" fontId="35" fillId="0" borderId="8" xfId="7" applyNumberFormat="1" applyFont="1" applyFill="1" applyBorder="1" applyAlignment="1">
      <alignment horizontal="left"/>
    </xf>
    <xf numFmtId="2" fontId="37" fillId="0" borderId="68" xfId="7" applyNumberFormat="1" applyFont="1" applyFill="1" applyBorder="1" applyAlignment="1"/>
    <xf numFmtId="0" fontId="37" fillId="0" borderId="69" xfId="7" applyFont="1" applyFill="1" applyBorder="1"/>
    <xf numFmtId="0" fontId="2" fillId="0" borderId="69" xfId="7" applyFont="1" applyFill="1" applyBorder="1"/>
    <xf numFmtId="0" fontId="35" fillId="0" borderId="69" xfId="7" applyFont="1" applyFill="1" applyBorder="1" applyAlignment="1">
      <alignment horizontal="right"/>
    </xf>
    <xf numFmtId="165" fontId="35" fillId="0" borderId="89" xfId="7" applyNumberFormat="1" applyFont="1" applyFill="1" applyBorder="1" applyAlignment="1">
      <alignment horizontal="left"/>
    </xf>
    <xf numFmtId="0" fontId="35" fillId="0" borderId="3" xfId="7" applyFont="1" applyFill="1" applyBorder="1" applyAlignment="1">
      <alignment horizontal="left"/>
    </xf>
    <xf numFmtId="0" fontId="35" fillId="0" borderId="0" xfId="7" applyFont="1" applyFill="1" applyBorder="1" applyAlignment="1">
      <alignment horizontal="right"/>
    </xf>
    <xf numFmtId="0" fontId="35" fillId="0" borderId="0" xfId="7" applyFont="1" applyFill="1" applyBorder="1" applyAlignment="1">
      <alignment horizontal="centerContinuous"/>
    </xf>
    <xf numFmtId="0" fontId="35" fillId="0" borderId="0" xfId="7" applyFont="1" applyFill="1" applyBorder="1" applyAlignment="1">
      <alignment horizontal="left"/>
    </xf>
    <xf numFmtId="0" fontId="35" fillId="0" borderId="1" xfId="7" applyFont="1" applyFill="1" applyBorder="1" applyAlignment="1">
      <alignment horizontal="right"/>
    </xf>
    <xf numFmtId="0" fontId="35" fillId="0" borderId="2" xfId="7" applyFont="1" applyFill="1" applyBorder="1"/>
    <xf numFmtId="0" fontId="35" fillId="0" borderId="5" xfId="7" applyFont="1" applyFill="1" applyBorder="1" applyAlignment="1">
      <alignment horizontal="left"/>
    </xf>
    <xf numFmtId="0" fontId="47" fillId="0" borderId="6" xfId="7" applyFont="1" applyFill="1" applyBorder="1" applyAlignment="1">
      <alignment horizontal="left"/>
    </xf>
    <xf numFmtId="0" fontId="37" fillId="0" borderId="7" xfId="7" applyFont="1" applyFill="1" applyBorder="1" applyAlignment="1">
      <alignment horizontal="centerContinuous"/>
    </xf>
    <xf numFmtId="0" fontId="37" fillId="0" borderId="7" xfId="7" applyFont="1" applyFill="1" applyBorder="1"/>
    <xf numFmtId="2" fontId="37" fillId="0" borderId="7" xfId="7" applyNumberFormat="1" applyFont="1" applyFill="1" applyBorder="1" applyAlignment="1">
      <alignment horizontal="left"/>
    </xf>
    <xf numFmtId="2" fontId="37" fillId="0" borderId="7" xfId="7" applyNumberFormat="1" applyFont="1" applyFill="1" applyBorder="1" applyAlignment="1">
      <alignment horizontal="center"/>
    </xf>
    <xf numFmtId="0" fontId="37" fillId="0" borderId="0" xfId="7" applyFont="1" applyFill="1" applyBorder="1" applyAlignment="1">
      <alignment horizontal="left"/>
    </xf>
    <xf numFmtId="0" fontId="37" fillId="0" borderId="5" xfId="7" applyFont="1" applyFill="1" applyBorder="1" applyAlignment="1">
      <alignment horizontal="left"/>
    </xf>
    <xf numFmtId="2" fontId="36" fillId="0" borderId="1" xfId="7" applyNumberFormat="1" applyFont="1" applyFill="1" applyBorder="1" applyAlignment="1">
      <alignment horizontal="right"/>
    </xf>
    <xf numFmtId="49" fontId="36" fillId="0" borderId="2" xfId="7" applyNumberFormat="1" applyFont="1" applyFill="1" applyBorder="1" applyAlignment="1">
      <alignment horizontal="center"/>
    </xf>
    <xf numFmtId="2" fontId="36" fillId="0" borderId="3" xfId="7" applyNumberFormat="1" applyFont="1" applyFill="1" applyBorder="1" applyAlignment="1">
      <alignment horizontal="left"/>
    </xf>
    <xf numFmtId="0" fontId="2" fillId="0" borderId="9" xfId="7" applyFont="1" applyFill="1" applyBorder="1" applyAlignment="1"/>
    <xf numFmtId="0" fontId="37" fillId="0" borderId="9" xfId="7" applyFont="1" applyFill="1" applyBorder="1" applyAlignment="1"/>
    <xf numFmtId="2" fontId="37" fillId="0" borderId="68" xfId="7" applyNumberFormat="1" applyFont="1" applyFill="1" applyBorder="1" applyAlignment="1">
      <alignment horizontal="center"/>
    </xf>
    <xf numFmtId="167" fontId="35" fillId="0" borderId="3" xfId="7" applyNumberFormat="1" applyFont="1" applyFill="1" applyBorder="1" applyAlignment="1">
      <alignment horizontal="left"/>
    </xf>
    <xf numFmtId="167" fontId="35" fillId="0" borderId="0" xfId="7" applyNumberFormat="1" applyFont="1" applyFill="1" applyBorder="1" applyAlignment="1">
      <alignment horizontal="right"/>
    </xf>
    <xf numFmtId="0" fontId="35" fillId="0" borderId="0" xfId="7" applyFont="1" applyFill="1" applyBorder="1" applyAlignment="1"/>
    <xf numFmtId="167" fontId="35" fillId="0" borderId="5" xfId="7" applyNumberFormat="1" applyFont="1" applyFill="1" applyBorder="1" applyAlignment="1">
      <alignment horizontal="left"/>
    </xf>
    <xf numFmtId="167" fontId="35" fillId="0" borderId="1" xfId="7" applyNumberFormat="1" applyFont="1" applyFill="1" applyBorder="1" applyAlignment="1">
      <alignment horizontal="right"/>
    </xf>
    <xf numFmtId="0" fontId="35" fillId="0" borderId="2" xfId="7" applyFont="1" applyFill="1" applyBorder="1" applyAlignment="1"/>
    <xf numFmtId="0" fontId="47" fillId="0" borderId="4" xfId="7" applyFont="1" applyFill="1" applyBorder="1" applyAlignment="1">
      <alignment horizontal="left"/>
    </xf>
    <xf numFmtId="0" fontId="37" fillId="0" borderId="0" xfId="7" applyFont="1" applyFill="1" applyBorder="1" applyAlignment="1">
      <alignment horizontal="centerContinuous"/>
    </xf>
    <xf numFmtId="1" fontId="37" fillId="0" borderId="5" xfId="7" applyNumberFormat="1" applyFont="1" applyFill="1" applyBorder="1" applyAlignment="1">
      <alignment horizontal="left"/>
    </xf>
    <xf numFmtId="2" fontId="36" fillId="0" borderId="14" xfId="7" applyNumberFormat="1" applyFont="1" applyFill="1" applyBorder="1" applyAlignment="1">
      <alignment horizontal="right"/>
    </xf>
    <xf numFmtId="49" fontId="36" fillId="0" borderId="13" xfId="7" applyNumberFormat="1" applyFont="1" applyFill="1" applyBorder="1" applyAlignment="1">
      <alignment horizontal="center"/>
    </xf>
    <xf numFmtId="2" fontId="36" fillId="0" borderId="15" xfId="7" applyNumberFormat="1" applyFont="1" applyFill="1" applyBorder="1" applyAlignment="1">
      <alignment horizontal="left"/>
    </xf>
    <xf numFmtId="0" fontId="1" fillId="0" borderId="4" xfId="7" applyFont="1" applyFill="1" applyBorder="1"/>
    <xf numFmtId="0" fontId="55" fillId="0" borderId="0" xfId="7" applyFont="1" applyFill="1" applyBorder="1"/>
    <xf numFmtId="0" fontId="37" fillId="0" borderId="1" xfId="7" applyFont="1" applyFill="1" applyBorder="1" applyAlignment="1">
      <alignment horizontal="right"/>
    </xf>
    <xf numFmtId="1" fontId="37" fillId="0" borderId="2" xfId="7" applyNumberFormat="1" applyFont="1" applyFill="1" applyBorder="1" applyAlignment="1"/>
    <xf numFmtId="0" fontId="37" fillId="0" borderId="3" xfId="7" applyFont="1" applyFill="1" applyBorder="1" applyAlignment="1">
      <alignment horizontal="left"/>
    </xf>
    <xf numFmtId="0" fontId="37" fillId="0" borderId="2" xfId="7" applyFont="1" applyFill="1" applyBorder="1" applyAlignment="1">
      <alignment horizontal="right"/>
    </xf>
    <xf numFmtId="0" fontId="37" fillId="0" borderId="2" xfId="7" applyFont="1" applyFill="1" applyBorder="1" applyAlignment="1"/>
    <xf numFmtId="0" fontId="1" fillId="0" borderId="6" xfId="7" applyFont="1" applyFill="1" applyBorder="1"/>
    <xf numFmtId="0" fontId="1" fillId="0" borderId="7" xfId="7" applyFont="1" applyFill="1" applyBorder="1"/>
    <xf numFmtId="0" fontId="1" fillId="0" borderId="7" xfId="7" applyFont="1" applyFill="1" applyBorder="1" applyAlignment="1">
      <alignment horizontal="center"/>
    </xf>
    <xf numFmtId="2" fontId="1" fillId="0" borderId="6" xfId="7" applyNumberFormat="1" applyFont="1" applyFill="1" applyBorder="1" applyAlignment="1">
      <alignment horizontal="right"/>
    </xf>
    <xf numFmtId="2" fontId="56" fillId="0" borderId="7" xfId="7" applyNumberFormat="1" applyFont="1" applyFill="1" applyBorder="1" applyAlignment="1">
      <alignment horizontal="center"/>
    </xf>
    <xf numFmtId="2" fontId="1" fillId="0" borderId="8" xfId="7" applyNumberFormat="1" applyFont="1" applyFill="1" applyBorder="1" applyAlignment="1">
      <alignment horizontal="left"/>
    </xf>
    <xf numFmtId="0" fontId="43" fillId="0" borderId="0" xfId="11" applyFont="1" applyFill="1"/>
    <xf numFmtId="2" fontId="43" fillId="0" borderId="0" xfId="11" applyNumberFormat="1" applyFont="1" applyFill="1"/>
    <xf numFmtId="0" fontId="57" fillId="0" borderId="0" xfId="5" applyFont="1" applyFill="1"/>
    <xf numFmtId="0" fontId="2" fillId="2" borderId="0" xfId="7" applyFill="1"/>
    <xf numFmtId="0" fontId="58" fillId="2" borderId="0" xfId="7" applyFont="1" applyFill="1" applyAlignment="1">
      <alignment horizontal="right"/>
    </xf>
    <xf numFmtId="167" fontId="2" fillId="2" borderId="0" xfId="7" applyNumberFormat="1" applyFill="1"/>
    <xf numFmtId="0" fontId="17" fillId="2" borderId="0" xfId="7" applyFont="1" applyFill="1" applyBorder="1"/>
    <xf numFmtId="0" fontId="18" fillId="2" borderId="0" xfId="7" applyFont="1" applyFill="1" applyBorder="1"/>
    <xf numFmtId="165" fontId="17" fillId="2" borderId="7" xfId="7" applyNumberFormat="1" applyFont="1" applyFill="1" applyBorder="1" applyAlignment="1"/>
    <xf numFmtId="167" fontId="17" fillId="2" borderId="7" xfId="7" applyNumberFormat="1" applyFont="1" applyFill="1" applyBorder="1" applyAlignment="1"/>
    <xf numFmtId="0" fontId="19" fillId="2" borderId="23" xfId="5" applyFont="1" applyFill="1" applyBorder="1" applyAlignment="1">
      <alignment horizontal="center" vertical="center"/>
    </xf>
    <xf numFmtId="0" fontId="19" fillId="2" borderId="24" xfId="5" applyFont="1" applyFill="1" applyBorder="1" applyAlignment="1">
      <alignment horizontal="center" vertical="center"/>
    </xf>
    <xf numFmtId="0" fontId="19" fillId="2" borderId="25" xfId="5" applyFont="1" applyFill="1" applyBorder="1" applyAlignment="1">
      <alignment horizontal="center" vertical="center"/>
    </xf>
    <xf numFmtId="0" fontId="19" fillId="2" borderId="23" xfId="5" applyFont="1" applyFill="1" applyBorder="1" applyAlignment="1">
      <alignment horizontal="center"/>
    </xf>
    <xf numFmtId="0" fontId="19" fillId="2" borderId="24" xfId="5" applyFont="1" applyFill="1" applyBorder="1" applyAlignment="1">
      <alignment horizontal="center"/>
    </xf>
    <xf numFmtId="0" fontId="19" fillId="2" borderId="25" xfId="5" applyFont="1" applyFill="1" applyBorder="1" applyAlignment="1">
      <alignment horizontal="center"/>
    </xf>
    <xf numFmtId="0" fontId="17" fillId="2" borderId="22" xfId="5" applyFont="1" applyFill="1" applyBorder="1" applyAlignment="1">
      <alignment horizontal="center" vertical="center"/>
    </xf>
    <xf numFmtId="0" fontId="17" fillId="2" borderId="51" xfId="5" applyFont="1" applyFill="1" applyBorder="1" applyAlignment="1">
      <alignment horizontal="center" vertical="center"/>
    </xf>
    <xf numFmtId="0" fontId="17" fillId="2" borderId="52" xfId="5" applyFont="1" applyFill="1" applyBorder="1" applyAlignment="1">
      <alignment horizontal="center" vertical="center"/>
    </xf>
    <xf numFmtId="0" fontId="17" fillId="2" borderId="22" xfId="5" applyFont="1" applyFill="1" applyBorder="1" applyAlignment="1">
      <alignment horizontal="center"/>
    </xf>
    <xf numFmtId="0" fontId="17" fillId="2" borderId="51" xfId="5" applyFont="1" applyFill="1" applyBorder="1" applyAlignment="1">
      <alignment horizontal="center"/>
    </xf>
    <xf numFmtId="0" fontId="17" fillId="2" borderId="52" xfId="5" applyFont="1" applyFill="1" applyBorder="1" applyAlignment="1">
      <alignment horizontal="center"/>
    </xf>
    <xf numFmtId="1" fontId="17" fillId="2" borderId="23" xfId="7" applyNumberFormat="1" applyFont="1" applyFill="1" applyBorder="1" applyAlignment="1">
      <alignment horizontal="center"/>
    </xf>
    <xf numFmtId="167" fontId="17" fillId="2" borderId="24" xfId="5" applyNumberFormat="1" applyFont="1" applyFill="1" applyBorder="1" applyAlignment="1">
      <alignment horizontal="center"/>
    </xf>
    <xf numFmtId="167" fontId="17" fillId="2" borderId="25" xfId="5" applyNumberFormat="1" applyFont="1" applyFill="1" applyBorder="1" applyAlignment="1">
      <alignment horizontal="center"/>
    </xf>
    <xf numFmtId="1" fontId="17" fillId="2" borderId="44" xfId="7" applyNumberFormat="1" applyFont="1" applyFill="1" applyBorder="1" applyAlignment="1">
      <alignment horizontal="center"/>
    </xf>
    <xf numFmtId="167" fontId="17" fillId="2" borderId="45" xfId="5" applyNumberFormat="1" applyFont="1" applyFill="1" applyBorder="1" applyAlignment="1">
      <alignment horizontal="center"/>
    </xf>
    <xf numFmtId="167" fontId="17" fillId="2" borderId="46" xfId="5" applyNumberFormat="1" applyFont="1" applyFill="1" applyBorder="1" applyAlignment="1">
      <alignment horizontal="center"/>
    </xf>
    <xf numFmtId="167" fontId="17" fillId="2" borderId="0" xfId="7" applyNumberFormat="1" applyFont="1" applyFill="1"/>
    <xf numFmtId="167" fontId="17" fillId="2" borderId="0" xfId="7" applyNumberFormat="1" applyFont="1" applyFill="1" applyBorder="1"/>
    <xf numFmtId="1" fontId="17" fillId="2" borderId="22" xfId="7" applyNumberFormat="1" applyFont="1" applyFill="1" applyBorder="1" applyAlignment="1">
      <alignment horizontal="center"/>
    </xf>
    <xf numFmtId="167" fontId="17" fillId="2" borderId="51" xfId="2" applyNumberFormat="1" applyFont="1" applyFill="1" applyBorder="1" applyAlignment="1" applyProtection="1">
      <alignment horizontal="center"/>
      <protection locked="0"/>
    </xf>
    <xf numFmtId="167" fontId="17" fillId="2" borderId="52" xfId="2" applyNumberFormat="1" applyFont="1" applyFill="1" applyBorder="1" applyAlignment="1">
      <alignment horizontal="center"/>
    </xf>
    <xf numFmtId="167" fontId="17" fillId="2" borderId="24" xfId="7" applyNumberFormat="1" applyFont="1" applyFill="1" applyBorder="1" applyAlignment="1">
      <alignment horizontal="center"/>
    </xf>
    <xf numFmtId="167" fontId="17" fillId="2" borderId="25" xfId="7" applyNumberFormat="1" applyFont="1" applyFill="1" applyBorder="1" applyAlignment="1">
      <alignment horizontal="center"/>
    </xf>
    <xf numFmtId="167" fontId="17" fillId="2" borderId="45" xfId="7" applyNumberFormat="1" applyFont="1" applyFill="1" applyBorder="1" applyAlignment="1">
      <alignment horizontal="center"/>
    </xf>
    <xf numFmtId="167" fontId="17" fillId="2" borderId="46" xfId="7" applyNumberFormat="1" applyFont="1" applyFill="1" applyBorder="1" applyAlignment="1">
      <alignment horizontal="center"/>
    </xf>
    <xf numFmtId="167" fontId="17" fillId="2" borderId="51" xfId="7" applyNumberFormat="1" applyFont="1" applyFill="1" applyBorder="1" applyAlignment="1">
      <alignment horizontal="center"/>
    </xf>
    <xf numFmtId="167" fontId="45" fillId="2" borderId="52" xfId="7" applyNumberFormat="1" applyFont="1" applyFill="1" applyBorder="1" applyAlignment="1">
      <alignment horizontal="center"/>
    </xf>
    <xf numFmtId="0" fontId="17" fillId="2" borderId="1" xfId="7" applyFont="1" applyFill="1" applyBorder="1" applyAlignment="1">
      <alignment horizontal="left"/>
    </xf>
    <xf numFmtId="2" fontId="17" fillId="2" borderId="2" xfId="7" applyNumberFormat="1" applyFont="1" applyFill="1" applyBorder="1" applyAlignment="1">
      <alignment horizontal="center"/>
    </xf>
    <xf numFmtId="2" fontId="17" fillId="2" borderId="3" xfId="7" applyNumberFormat="1" applyFont="1" applyFill="1" applyBorder="1" applyAlignment="1">
      <alignment horizontal="left"/>
    </xf>
    <xf numFmtId="0" fontId="17" fillId="2" borderId="2" xfId="7" applyFont="1" applyFill="1" applyBorder="1" applyAlignment="1">
      <alignment horizontal="left"/>
    </xf>
    <xf numFmtId="2" fontId="17" fillId="2" borderId="2" xfId="7" applyNumberFormat="1" applyFont="1" applyFill="1" applyBorder="1" applyAlignment="1"/>
    <xf numFmtId="0" fontId="17" fillId="2" borderId="3" xfId="7" applyFont="1" applyFill="1" applyBorder="1"/>
    <xf numFmtId="167" fontId="17" fillId="2" borderId="1" xfId="7" applyNumberFormat="1" applyFont="1" applyFill="1" applyBorder="1" applyAlignment="1"/>
    <xf numFmtId="167" fontId="17" fillId="2" borderId="2" xfId="7" applyNumberFormat="1" applyFont="1" applyFill="1" applyBorder="1" applyAlignment="1"/>
    <xf numFmtId="0" fontId="17" fillId="2" borderId="4" xfId="7" applyFont="1" applyFill="1" applyBorder="1" applyAlignment="1">
      <alignment horizontal="left"/>
    </xf>
    <xf numFmtId="2" fontId="17" fillId="2" borderId="0" xfId="7" applyNumberFormat="1" applyFont="1" applyFill="1" applyBorder="1" applyAlignment="1">
      <alignment horizontal="center"/>
    </xf>
    <xf numFmtId="2" fontId="17" fillId="2" borderId="5" xfId="7" applyNumberFormat="1" applyFont="1" applyFill="1" applyBorder="1" applyAlignment="1">
      <alignment horizontal="left"/>
    </xf>
    <xf numFmtId="0" fontId="17" fillId="2" borderId="0" xfId="7" applyFont="1" applyFill="1" applyBorder="1" applyAlignment="1">
      <alignment horizontal="left"/>
    </xf>
    <xf numFmtId="2" fontId="17" fillId="2" borderId="0" xfId="7" applyNumberFormat="1" applyFont="1" applyFill="1" applyBorder="1" applyAlignment="1"/>
    <xf numFmtId="0" fontId="17" fillId="2" borderId="5" xfId="7" applyFont="1" applyFill="1" applyBorder="1"/>
    <xf numFmtId="167" fontId="17" fillId="2" borderId="4" xfId="7" applyNumberFormat="1" applyFont="1" applyFill="1" applyBorder="1" applyAlignment="1"/>
    <xf numFmtId="167" fontId="17" fillId="2" borderId="0" xfId="7" applyNumberFormat="1" applyFont="1" applyFill="1" applyBorder="1" applyAlignment="1"/>
    <xf numFmtId="167" fontId="17" fillId="2" borderId="5" xfId="7" applyNumberFormat="1" applyFont="1" applyFill="1" applyBorder="1" applyAlignment="1"/>
    <xf numFmtId="0" fontId="17" fillId="2" borderId="6" xfId="7" applyFont="1" applyFill="1" applyBorder="1" applyAlignment="1">
      <alignment horizontal="left"/>
    </xf>
    <xf numFmtId="2" fontId="17" fillId="2" borderId="7" xfId="7" applyNumberFormat="1" applyFont="1" applyFill="1" applyBorder="1" applyAlignment="1">
      <alignment horizontal="center"/>
    </xf>
    <xf numFmtId="2" fontId="17" fillId="2" borderId="8" xfId="7" applyNumberFormat="1" applyFont="1" applyFill="1" applyBorder="1" applyAlignment="1">
      <alignment horizontal="left"/>
    </xf>
    <xf numFmtId="0" fontId="17" fillId="2" borderId="7" xfId="7" applyFont="1" applyFill="1" applyBorder="1" applyAlignment="1">
      <alignment horizontal="left"/>
    </xf>
    <xf numFmtId="2" fontId="17" fillId="2" borderId="7" xfId="7" applyNumberFormat="1" applyFont="1" applyFill="1" applyBorder="1" applyAlignment="1"/>
    <xf numFmtId="0" fontId="17" fillId="2" borderId="8" xfId="7" applyFont="1" applyFill="1" applyBorder="1"/>
    <xf numFmtId="167" fontId="17" fillId="2" borderId="6" xfId="7" applyNumberFormat="1" applyFont="1" applyFill="1" applyBorder="1" applyAlignment="1"/>
    <xf numFmtId="0" fontId="19" fillId="2" borderId="0" xfId="7" applyFont="1" applyFill="1" applyBorder="1"/>
    <xf numFmtId="0" fontId="19" fillId="2" borderId="0" xfId="7" applyFont="1" applyFill="1" applyBorder="1" applyAlignment="1">
      <alignment horizontal="center"/>
    </xf>
    <xf numFmtId="2" fontId="17" fillId="2" borderId="0" xfId="7" applyNumberFormat="1" applyFont="1" applyFill="1" applyBorder="1"/>
    <xf numFmtId="1" fontId="17" fillId="2" borderId="0" xfId="7" applyNumberFormat="1" applyFont="1" applyFill="1" applyBorder="1"/>
    <xf numFmtId="1" fontId="17" fillId="2" borderId="0" xfId="7" applyNumberFormat="1" applyFont="1" applyFill="1" applyBorder="1" applyProtection="1">
      <protection locked="0"/>
    </xf>
    <xf numFmtId="2" fontId="19" fillId="2" borderId="22" xfId="7" applyNumberFormat="1" applyFont="1" applyFill="1" applyBorder="1" applyAlignment="1">
      <alignment horizontal="center" vertical="center"/>
    </xf>
    <xf numFmtId="1" fontId="19" fillId="2" borderId="51" xfId="7" applyNumberFormat="1" applyFont="1" applyFill="1" applyBorder="1" applyAlignment="1">
      <alignment horizontal="center" vertical="center"/>
    </xf>
    <xf numFmtId="2" fontId="19" fillId="2" borderId="51" xfId="7" applyNumberFormat="1" applyFont="1" applyFill="1" applyBorder="1" applyAlignment="1">
      <alignment horizontal="center" vertical="center"/>
    </xf>
    <xf numFmtId="1" fontId="19" fillId="2" borderId="52" xfId="7" applyNumberFormat="1" applyFont="1" applyFill="1" applyBorder="1" applyAlignment="1">
      <alignment horizontal="center" vertical="center"/>
    </xf>
    <xf numFmtId="0" fontId="17" fillId="2" borderId="23" xfId="7" applyFont="1" applyFill="1" applyBorder="1" applyAlignment="1">
      <alignment horizontal="left"/>
    </xf>
    <xf numFmtId="49" fontId="17" fillId="2" borderId="57" xfId="4" applyNumberFormat="1" applyFont="1" applyFill="1" applyBorder="1" applyAlignment="1"/>
    <xf numFmtId="49" fontId="17" fillId="2" borderId="19" xfId="4" applyNumberFormat="1" applyFont="1" applyFill="1" applyBorder="1" applyAlignment="1"/>
    <xf numFmtId="165" fontId="17" fillId="2" borderId="58" xfId="7" applyNumberFormat="1" applyFont="1" applyFill="1" applyBorder="1"/>
    <xf numFmtId="1" fontId="17" fillId="2" borderId="54" xfId="7" applyNumberFormat="1" applyFont="1" applyFill="1" applyBorder="1"/>
    <xf numFmtId="165" fontId="17" fillId="2" borderId="54" xfId="7" applyNumberFormat="1" applyFont="1" applyFill="1" applyBorder="1"/>
    <xf numFmtId="165" fontId="17" fillId="2" borderId="59" xfId="7" applyNumberFormat="1" applyFont="1" applyFill="1" applyBorder="1"/>
    <xf numFmtId="1" fontId="17" fillId="2" borderId="12" xfId="10" applyNumberFormat="1" applyFont="1" applyFill="1" applyBorder="1" applyAlignment="1">
      <alignment horizontal="center" vertical="center"/>
    </xf>
    <xf numFmtId="167" fontId="17" fillId="2" borderId="17" xfId="10" applyNumberFormat="1" applyFont="1" applyFill="1" applyBorder="1" applyAlignment="1">
      <alignment horizontal="center" vertical="center"/>
    </xf>
    <xf numFmtId="167" fontId="17" fillId="2" borderId="18" xfId="10" applyNumberFormat="1" applyFont="1" applyFill="1" applyBorder="1" applyAlignment="1">
      <alignment horizontal="center" vertical="center"/>
    </xf>
    <xf numFmtId="167" fontId="17" fillId="13" borderId="0" xfId="7" applyNumberFormat="1" applyFont="1" applyFill="1" applyBorder="1"/>
    <xf numFmtId="0" fontId="17" fillId="2" borderId="12" xfId="7" applyFont="1" applyFill="1" applyBorder="1" applyAlignment="1">
      <alignment horizontal="left"/>
    </xf>
    <xf numFmtId="0" fontId="17" fillId="2" borderId="60" xfId="4" applyFont="1" applyFill="1" applyBorder="1" applyAlignment="1"/>
    <xf numFmtId="0" fontId="17" fillId="2" borderId="20" xfId="4" applyFont="1" applyFill="1" applyBorder="1" applyAlignment="1"/>
    <xf numFmtId="165" fontId="17" fillId="2" borderId="12" xfId="7" applyNumberFormat="1" applyFont="1" applyFill="1" applyBorder="1"/>
    <xf numFmtId="1" fontId="17" fillId="2" borderId="17" xfId="7" applyNumberFormat="1" applyFont="1" applyFill="1" applyBorder="1"/>
    <xf numFmtId="165" fontId="17" fillId="2" borderId="17" xfId="7" applyNumberFormat="1" applyFont="1" applyFill="1" applyBorder="1"/>
    <xf numFmtId="165" fontId="17" fillId="2" borderId="60" xfId="7" applyNumberFormat="1" applyFont="1" applyFill="1" applyBorder="1"/>
    <xf numFmtId="167" fontId="17" fillId="13" borderId="0" xfId="7" applyNumberFormat="1" applyFont="1" applyFill="1"/>
    <xf numFmtId="0" fontId="17" fillId="13" borderId="0" xfId="7" applyFont="1" applyFill="1" applyBorder="1"/>
    <xf numFmtId="0" fontId="17" fillId="13" borderId="0" xfId="7" applyFont="1" applyFill="1"/>
    <xf numFmtId="1" fontId="17" fillId="2" borderId="61" xfId="10" applyNumberFormat="1" applyFont="1" applyFill="1" applyBorder="1" applyAlignment="1">
      <alignment horizontal="center" vertical="center"/>
    </xf>
    <xf numFmtId="1" fontId="17" fillId="2" borderId="23" xfId="7" applyNumberFormat="1" applyFont="1" applyFill="1" applyBorder="1" applyAlignment="1">
      <alignment horizontal="center" vertical="center"/>
    </xf>
    <xf numFmtId="167" fontId="17" fillId="2" borderId="24" xfId="7" applyNumberFormat="1" applyFont="1" applyFill="1" applyBorder="1" applyAlignment="1">
      <alignment horizontal="center" vertical="center"/>
    </xf>
    <xf numFmtId="167" fontId="17" fillId="2" borderId="25" xfId="7" applyNumberFormat="1" applyFont="1" applyFill="1" applyBorder="1" applyAlignment="1">
      <alignment horizontal="center" vertical="center"/>
    </xf>
    <xf numFmtId="167" fontId="42" fillId="0" borderId="0" xfId="7" applyNumberFormat="1" applyFont="1" applyFill="1"/>
    <xf numFmtId="1" fontId="17" fillId="2" borderId="22" xfId="7" applyNumberFormat="1" applyFont="1" applyFill="1" applyBorder="1" applyAlignment="1">
      <alignment horizontal="center" vertical="center"/>
    </xf>
    <xf numFmtId="167" fontId="17" fillId="2" borderId="51" xfId="7" applyNumberFormat="1" applyFont="1" applyFill="1" applyBorder="1" applyAlignment="1">
      <alignment horizontal="center" vertical="center"/>
    </xf>
    <xf numFmtId="167" fontId="17" fillId="2" borderId="52" xfId="7" applyNumberFormat="1" applyFont="1" applyFill="1" applyBorder="1" applyAlignment="1">
      <alignment horizontal="center" vertical="center"/>
    </xf>
    <xf numFmtId="1" fontId="17" fillId="2" borderId="37" xfId="7" applyNumberFormat="1" applyFont="1" applyFill="1" applyBorder="1" applyAlignment="1">
      <alignment horizontal="center" vertical="center"/>
    </xf>
    <xf numFmtId="167" fontId="17" fillId="2" borderId="38" xfId="7" applyNumberFormat="1" applyFont="1" applyFill="1" applyBorder="1" applyAlignment="1">
      <alignment horizontal="center" vertical="center"/>
    </xf>
    <xf numFmtId="167" fontId="17" fillId="2" borderId="39" xfId="7" applyNumberFormat="1" applyFont="1" applyFill="1" applyBorder="1" applyAlignment="1">
      <alignment horizontal="center" vertical="center"/>
    </xf>
    <xf numFmtId="0" fontId="17" fillId="2" borderId="0" xfId="9" applyFont="1" applyFill="1" applyBorder="1"/>
    <xf numFmtId="2" fontId="19" fillId="2" borderId="22" xfId="7" applyNumberFormat="1" applyFont="1" applyFill="1" applyBorder="1" applyAlignment="1">
      <alignment horizontal="center"/>
    </xf>
    <xf numFmtId="1" fontId="19" fillId="2" borderId="51" xfId="7" applyNumberFormat="1" applyFont="1" applyFill="1" applyBorder="1" applyAlignment="1">
      <alignment horizontal="center"/>
    </xf>
    <xf numFmtId="2" fontId="19" fillId="2" borderId="51" xfId="7" applyNumberFormat="1" applyFont="1" applyFill="1" applyBorder="1" applyAlignment="1">
      <alignment horizontal="center"/>
    </xf>
    <xf numFmtId="1" fontId="19" fillId="2" borderId="52" xfId="7" applyNumberFormat="1" applyFont="1" applyFill="1" applyBorder="1" applyAlignment="1">
      <alignment horizontal="center"/>
    </xf>
    <xf numFmtId="0" fontId="17" fillId="2" borderId="62" xfId="4" applyFont="1" applyFill="1" applyBorder="1" applyAlignment="1"/>
    <xf numFmtId="0" fontId="17" fillId="2" borderId="63" xfId="4" applyFont="1" applyFill="1" applyBorder="1" applyAlignment="1"/>
    <xf numFmtId="165" fontId="17" fillId="2" borderId="61" xfId="7" applyNumberFormat="1" applyFont="1" applyFill="1" applyBorder="1"/>
    <xf numFmtId="1" fontId="17" fillId="2" borderId="28" xfId="7" applyNumberFormat="1" applyFont="1" applyFill="1" applyBorder="1"/>
    <xf numFmtId="165" fontId="17" fillId="2" borderId="28" xfId="7" applyNumberFormat="1" applyFont="1" applyFill="1" applyBorder="1"/>
    <xf numFmtId="165" fontId="17" fillId="2" borderId="62" xfId="7" applyNumberFormat="1" applyFont="1" applyFill="1" applyBorder="1"/>
    <xf numFmtId="167" fontId="17" fillId="2" borderId="28" xfId="10" applyNumberFormat="1" applyFont="1" applyFill="1" applyBorder="1" applyAlignment="1">
      <alignment horizontal="center" vertical="center"/>
    </xf>
    <xf numFmtId="167" fontId="17" fillId="2" borderId="29" xfId="10" applyNumberFormat="1" applyFont="1" applyFill="1" applyBorder="1" applyAlignment="1">
      <alignment horizontal="center" vertical="center"/>
    </xf>
    <xf numFmtId="0" fontId="17" fillId="2" borderId="32" xfId="4" applyFont="1" applyFill="1" applyBorder="1" applyAlignment="1"/>
    <xf numFmtId="0" fontId="17" fillId="2" borderId="57" xfId="4" applyFont="1" applyFill="1" applyBorder="1" applyAlignment="1"/>
    <xf numFmtId="0" fontId="17" fillId="2" borderId="19" xfId="4" applyFont="1" applyFill="1" applyBorder="1" applyAlignment="1"/>
    <xf numFmtId="165" fontId="17" fillId="2" borderId="23" xfId="7" applyNumberFormat="1" applyFont="1" applyFill="1" applyBorder="1"/>
    <xf numFmtId="1" fontId="17" fillId="2" borderId="24" xfId="7" applyNumberFormat="1" applyFont="1" applyFill="1" applyBorder="1"/>
    <xf numFmtId="165" fontId="17" fillId="2" borderId="24" xfId="7" applyNumberFormat="1" applyFont="1" applyFill="1" applyBorder="1"/>
    <xf numFmtId="165" fontId="17" fillId="2" borderId="57" xfId="7" applyNumberFormat="1" applyFont="1" applyFill="1" applyBorder="1"/>
    <xf numFmtId="1" fontId="17" fillId="2" borderId="23" xfId="10" applyNumberFormat="1" applyFont="1" applyFill="1" applyBorder="1" applyAlignment="1">
      <alignment horizontal="center" vertical="center"/>
    </xf>
    <xf numFmtId="167" fontId="17" fillId="2" borderId="24" xfId="10" applyNumberFormat="1" applyFont="1" applyFill="1" applyBorder="1" applyAlignment="1">
      <alignment horizontal="center" vertical="center"/>
    </xf>
    <xf numFmtId="167" fontId="17" fillId="2" borderId="25" xfId="10" applyNumberFormat="1" applyFont="1" applyFill="1" applyBorder="1" applyAlignment="1">
      <alignment horizontal="center" vertical="center"/>
    </xf>
    <xf numFmtId="0" fontId="17" fillId="2" borderId="27" xfId="4" applyFont="1" applyFill="1" applyBorder="1" applyAlignment="1"/>
    <xf numFmtId="0" fontId="17" fillId="2" borderId="64" xfId="4" applyFont="1" applyFill="1" applyBorder="1" applyAlignment="1"/>
    <xf numFmtId="0" fontId="17" fillId="2" borderId="21" xfId="4" applyFont="1" applyFill="1" applyBorder="1" applyAlignment="1"/>
    <xf numFmtId="165" fontId="17" fillId="2" borderId="22" xfId="7" applyNumberFormat="1" applyFont="1" applyFill="1" applyBorder="1"/>
    <xf numFmtId="1" fontId="17" fillId="2" borderId="51" xfId="7" applyNumberFormat="1" applyFont="1" applyFill="1" applyBorder="1"/>
    <xf numFmtId="165" fontId="17" fillId="2" borderId="51" xfId="7" applyNumberFormat="1" applyFont="1" applyFill="1" applyBorder="1"/>
    <xf numFmtId="165" fontId="17" fillId="2" borderId="64" xfId="7" applyNumberFormat="1" applyFont="1" applyFill="1" applyBorder="1"/>
    <xf numFmtId="1" fontId="17" fillId="2" borderId="22" xfId="10" applyNumberFormat="1" applyFont="1" applyFill="1" applyBorder="1" applyAlignment="1">
      <alignment horizontal="center" vertical="center"/>
    </xf>
    <xf numFmtId="167" fontId="17" fillId="2" borderId="51" xfId="10" applyNumberFormat="1" applyFont="1" applyFill="1" applyBorder="1" applyAlignment="1">
      <alignment horizontal="center" vertical="center"/>
    </xf>
    <xf numFmtId="167" fontId="17" fillId="2" borderId="52" xfId="10" applyNumberFormat="1" applyFont="1" applyFill="1" applyBorder="1" applyAlignment="1">
      <alignment horizontal="center" vertical="center"/>
    </xf>
    <xf numFmtId="0" fontId="17" fillId="2" borderId="4" xfId="7" applyFont="1" applyFill="1" applyBorder="1" applyAlignment="1">
      <alignment horizontal="left" vertical="center"/>
    </xf>
    <xf numFmtId="1" fontId="17" fillId="2" borderId="0" xfId="7" applyNumberFormat="1" applyFont="1" applyFill="1" applyBorder="1" applyAlignment="1">
      <alignment horizontal="center" vertical="center"/>
    </xf>
    <xf numFmtId="2" fontId="17" fillId="2" borderId="0" xfId="7" applyNumberFormat="1" applyFont="1" applyFill="1" applyBorder="1" applyAlignment="1">
      <alignment horizontal="center" vertical="center"/>
    </xf>
    <xf numFmtId="0" fontId="19" fillId="2" borderId="0" xfId="7" applyFont="1" applyFill="1" applyBorder="1" applyAlignment="1">
      <alignment horizontal="left" vertical="center"/>
    </xf>
    <xf numFmtId="0" fontId="19" fillId="2" borderId="0" xfId="7" applyFont="1" applyFill="1" applyBorder="1" applyAlignment="1">
      <alignment horizontal="centerContinuous"/>
    </xf>
    <xf numFmtId="2" fontId="17" fillId="2" borderId="0" xfId="7" applyNumberFormat="1" applyFont="1" applyFill="1" applyBorder="1" applyAlignment="1">
      <alignment horizontal="centerContinuous"/>
    </xf>
    <xf numFmtId="0" fontId="17" fillId="2" borderId="0" xfId="7" applyFont="1" applyFill="1" applyBorder="1" applyAlignment="1">
      <alignment horizontal="centerContinuous"/>
    </xf>
    <xf numFmtId="0" fontId="17" fillId="2" borderId="32" xfId="7" applyFont="1" applyFill="1" applyBorder="1"/>
    <xf numFmtId="0" fontId="17" fillId="2" borderId="31" xfId="7" applyFont="1" applyFill="1" applyBorder="1"/>
    <xf numFmtId="0" fontId="17" fillId="2" borderId="19" xfId="7" applyFont="1" applyFill="1" applyBorder="1"/>
    <xf numFmtId="167" fontId="17" fillId="2" borderId="65" xfId="7" applyNumberFormat="1" applyFont="1" applyFill="1" applyBorder="1" applyAlignment="1">
      <alignment horizontal="right"/>
    </xf>
    <xf numFmtId="49" fontId="17" fillId="2" borderId="66" xfId="7" applyNumberFormat="1" applyFont="1" applyFill="1" applyBorder="1" applyAlignment="1">
      <alignment horizontal="center"/>
    </xf>
    <xf numFmtId="167" fontId="17" fillId="2" borderId="67" xfId="7" applyNumberFormat="1" applyFont="1" applyFill="1" applyBorder="1" applyAlignment="1">
      <alignment horizontal="left"/>
    </xf>
    <xf numFmtId="0" fontId="17" fillId="2" borderId="33" xfId="7" applyFont="1" applyFill="1" applyBorder="1"/>
    <xf numFmtId="0" fontId="17" fillId="2" borderId="30" xfId="7" applyFont="1" applyFill="1" applyBorder="1"/>
    <xf numFmtId="0" fontId="17" fillId="2" borderId="20" xfId="7" applyFont="1" applyFill="1" applyBorder="1"/>
    <xf numFmtId="167" fontId="17" fillId="2" borderId="6" xfId="7" applyNumberFormat="1" applyFont="1" applyFill="1" applyBorder="1" applyAlignment="1">
      <alignment horizontal="right"/>
    </xf>
    <xf numFmtId="49" fontId="17" fillId="2" borderId="7" xfId="7" applyNumberFormat="1" applyFont="1" applyFill="1" applyBorder="1" applyAlignment="1">
      <alignment horizontal="center"/>
    </xf>
    <xf numFmtId="167" fontId="17" fillId="2" borderId="8" xfId="7" applyNumberFormat="1" applyFont="1" applyFill="1" applyBorder="1" applyAlignment="1">
      <alignment horizontal="left"/>
    </xf>
    <xf numFmtId="2" fontId="17" fillId="2" borderId="68" xfId="7" applyNumberFormat="1" applyFont="1" applyFill="1" applyBorder="1" applyAlignment="1">
      <alignment horizontal="right"/>
    </xf>
    <xf numFmtId="0" fontId="17" fillId="2" borderId="69" xfId="7" applyFont="1" applyFill="1" applyBorder="1" applyAlignment="1">
      <alignment horizontal="left"/>
    </xf>
    <xf numFmtId="0" fontId="17" fillId="2" borderId="69" xfId="7" applyFont="1" applyFill="1" applyBorder="1"/>
    <xf numFmtId="165" fontId="17" fillId="2" borderId="69" xfId="7" applyNumberFormat="1" applyFont="1" applyFill="1" applyBorder="1" applyAlignment="1">
      <alignment horizontal="left"/>
    </xf>
    <xf numFmtId="0" fontId="17" fillId="2" borderId="1" xfId="7" applyFont="1" applyFill="1" applyBorder="1"/>
    <xf numFmtId="0" fontId="17" fillId="2" borderId="2" xfId="7" applyFont="1" applyFill="1" applyBorder="1"/>
    <xf numFmtId="0" fontId="17" fillId="2" borderId="3" xfId="7" applyFont="1" applyFill="1" applyBorder="1" applyAlignment="1">
      <alignment horizontal="left"/>
    </xf>
    <xf numFmtId="0" fontId="17" fillId="2" borderId="1" xfId="7" applyFont="1" applyFill="1" applyBorder="1" applyAlignment="1"/>
    <xf numFmtId="0" fontId="17" fillId="2" borderId="2" xfId="7" applyFont="1" applyFill="1" applyBorder="1" applyAlignment="1"/>
    <xf numFmtId="0" fontId="17" fillId="2" borderId="3" xfId="7" applyFont="1" applyFill="1" applyBorder="1" applyAlignment="1"/>
    <xf numFmtId="0" fontId="17" fillId="2" borderId="6" xfId="7" applyFont="1" applyFill="1" applyBorder="1" applyAlignment="1">
      <alignment horizontal="right"/>
    </xf>
    <xf numFmtId="0" fontId="17" fillId="2" borderId="7" xfId="7" applyFont="1" applyFill="1" applyBorder="1"/>
    <xf numFmtId="2" fontId="17" fillId="2" borderId="7" xfId="7" applyNumberFormat="1" applyFont="1" applyFill="1" applyBorder="1" applyAlignment="1">
      <alignment horizontal="right"/>
    </xf>
    <xf numFmtId="2" fontId="17" fillId="2" borderId="7" xfId="7" applyNumberFormat="1" applyFont="1" applyFill="1" applyBorder="1" applyAlignment="1">
      <alignment horizontal="left"/>
    </xf>
    <xf numFmtId="0" fontId="17" fillId="2" borderId="8" xfId="7" applyFont="1" applyFill="1" applyBorder="1" applyAlignment="1">
      <alignment horizontal="left"/>
    </xf>
    <xf numFmtId="2" fontId="19" fillId="2" borderId="1" xfId="7" applyNumberFormat="1" applyFont="1" applyFill="1" applyBorder="1" applyAlignment="1">
      <alignment horizontal="right"/>
    </xf>
    <xf numFmtId="49" fontId="19" fillId="2" borderId="2" xfId="7" applyNumberFormat="1" applyFont="1" applyFill="1" applyBorder="1" applyAlignment="1">
      <alignment horizontal="center"/>
    </xf>
    <xf numFmtId="2" fontId="19" fillId="2" borderId="3" xfId="7" applyNumberFormat="1" applyFont="1" applyFill="1" applyBorder="1" applyAlignment="1">
      <alignment horizontal="left"/>
    </xf>
    <xf numFmtId="167" fontId="17" fillId="2" borderId="65" xfId="7" applyNumberFormat="1" applyFont="1" applyFill="1" applyBorder="1" applyAlignment="1">
      <alignment horizontal="right" vertical="center"/>
    </xf>
    <xf numFmtId="49" fontId="17" fillId="2" borderId="66" xfId="7" applyNumberFormat="1" applyFont="1" applyFill="1" applyBorder="1" applyAlignment="1">
      <alignment horizontal="center" vertical="center"/>
    </xf>
    <xf numFmtId="167" fontId="17" fillId="2" borderId="67" xfId="7" applyNumberFormat="1" applyFont="1" applyFill="1" applyBorder="1" applyAlignment="1">
      <alignment horizontal="left" vertical="center"/>
    </xf>
    <xf numFmtId="0" fontId="17" fillId="2" borderId="11" xfId="7" applyFont="1" applyFill="1" applyBorder="1"/>
    <xf numFmtId="167" fontId="17" fillId="2" borderId="6" xfId="7" applyNumberFormat="1" applyFont="1" applyFill="1" applyBorder="1" applyAlignment="1">
      <alignment horizontal="right" vertical="center"/>
    </xf>
    <xf numFmtId="49" fontId="17" fillId="2" borderId="7" xfId="7" applyNumberFormat="1" applyFont="1" applyFill="1" applyBorder="1" applyAlignment="1">
      <alignment horizontal="center" vertical="center"/>
    </xf>
    <xf numFmtId="167" fontId="17" fillId="2" borderId="8" xfId="7" applyNumberFormat="1" applyFont="1" applyFill="1" applyBorder="1" applyAlignment="1">
      <alignment horizontal="left" vertical="center"/>
    </xf>
    <xf numFmtId="2" fontId="19" fillId="2" borderId="14" xfId="7" applyNumberFormat="1" applyFont="1" applyFill="1" applyBorder="1" applyAlignment="1">
      <alignment horizontal="right"/>
    </xf>
    <xf numFmtId="49" fontId="19" fillId="2" borderId="13" xfId="7" applyNumberFormat="1" applyFont="1" applyFill="1" applyBorder="1" applyAlignment="1">
      <alignment horizontal="center"/>
    </xf>
    <xf numFmtId="2" fontId="19" fillId="2" borderId="15" xfId="7" applyNumberFormat="1" applyFont="1" applyFill="1" applyBorder="1" applyAlignment="1">
      <alignment horizontal="left"/>
    </xf>
    <xf numFmtId="0" fontId="17" fillId="2" borderId="1" xfId="7" applyFont="1" applyFill="1" applyBorder="1" applyAlignment="1">
      <alignment horizontal="right" vertical="center"/>
    </xf>
    <xf numFmtId="1" fontId="17" fillId="2" borderId="2" xfId="7" applyNumberFormat="1" applyFont="1" applyFill="1" applyBorder="1" applyAlignment="1">
      <alignment vertical="center"/>
    </xf>
    <xf numFmtId="0" fontId="17" fillId="2" borderId="3" xfId="7" applyFont="1" applyFill="1" applyBorder="1" applyAlignment="1">
      <alignment horizontal="left" vertical="center"/>
    </xf>
    <xf numFmtId="0" fontId="19" fillId="2" borderId="6" xfId="7" applyFont="1" applyFill="1" applyBorder="1" applyAlignment="1">
      <alignment vertical="center"/>
    </xf>
    <xf numFmtId="0" fontId="19" fillId="2" borderId="7" xfId="7" applyFont="1" applyFill="1" applyBorder="1" applyAlignment="1">
      <alignment vertical="center"/>
    </xf>
    <xf numFmtId="0" fontId="19" fillId="2" borderId="7" xfId="7" applyFont="1" applyFill="1" applyBorder="1" applyAlignment="1">
      <alignment horizontal="center" vertical="center"/>
    </xf>
    <xf numFmtId="0" fontId="17" fillId="2" borderId="7" xfId="7" applyFont="1" applyFill="1" applyBorder="1" applyAlignment="1">
      <alignment vertical="center"/>
    </xf>
    <xf numFmtId="0" fontId="17" fillId="2" borderId="8" xfId="7" applyFont="1" applyFill="1" applyBorder="1" applyAlignment="1">
      <alignment vertical="center"/>
    </xf>
    <xf numFmtId="2" fontId="19" fillId="2" borderId="6" xfId="7" applyNumberFormat="1" applyFont="1" applyFill="1" applyBorder="1" applyAlignment="1">
      <alignment horizontal="right" vertical="center"/>
    </xf>
    <xf numFmtId="2" fontId="19" fillId="2" borderId="7" xfId="7" applyNumberFormat="1" applyFont="1" applyFill="1" applyBorder="1" applyAlignment="1">
      <alignment horizontal="center" vertical="center"/>
    </xf>
    <xf numFmtId="2" fontId="19" fillId="2" borderId="8" xfId="7" applyNumberFormat="1" applyFont="1" applyFill="1" applyBorder="1" applyAlignment="1">
      <alignment horizontal="left" vertical="center"/>
    </xf>
    <xf numFmtId="0" fontId="41" fillId="2" borderId="0" xfId="3" applyFont="1" applyFill="1" applyAlignment="1">
      <alignment vertical="center"/>
    </xf>
    <xf numFmtId="0" fontId="25" fillId="2" borderId="0" xfId="2" applyFont="1" applyFill="1" applyAlignment="1">
      <alignment vertical="center"/>
    </xf>
    <xf numFmtId="0" fontId="2" fillId="2" borderId="0" xfId="7" applyFill="1" applyAlignment="1">
      <alignment vertical="center"/>
    </xf>
    <xf numFmtId="165" fontId="25" fillId="2" borderId="0" xfId="2" applyNumberFormat="1" applyFont="1" applyFill="1" applyAlignment="1">
      <alignment horizontal="center" vertical="center"/>
    </xf>
    <xf numFmtId="0" fontId="41" fillId="2" borderId="0" xfId="3" applyFont="1" applyFill="1" applyBorder="1" applyAlignment="1">
      <alignment vertical="center"/>
    </xf>
    <xf numFmtId="0" fontId="42" fillId="2" borderId="0" xfId="7" applyFont="1" applyFill="1" applyAlignment="1">
      <alignment vertical="center"/>
    </xf>
    <xf numFmtId="0" fontId="41" fillId="2" borderId="0" xfId="3" applyFont="1" applyFill="1" applyAlignment="1"/>
    <xf numFmtId="0" fontId="42" fillId="2" borderId="0" xfId="7" applyFont="1" applyFill="1"/>
    <xf numFmtId="0" fontId="42" fillId="2" borderId="0" xfId="2" applyFont="1" applyFill="1"/>
    <xf numFmtId="2" fontId="42" fillId="2" borderId="0" xfId="2" applyNumberFormat="1" applyFont="1" applyFill="1"/>
    <xf numFmtId="0" fontId="43" fillId="2" borderId="0" xfId="7" applyFont="1" applyFill="1"/>
    <xf numFmtId="2" fontId="17" fillId="2" borderId="2" xfId="7" applyNumberFormat="1" applyFont="1" applyFill="1" applyBorder="1" applyAlignment="1">
      <alignment horizontal="left"/>
    </xf>
    <xf numFmtId="167" fontId="17" fillId="2" borderId="3" xfId="7" applyNumberFormat="1" applyFont="1" applyFill="1" applyBorder="1" applyAlignment="1"/>
    <xf numFmtId="2" fontId="17" fillId="2" borderId="0" xfId="7" applyNumberFormat="1" applyFont="1" applyFill="1" applyBorder="1" applyAlignment="1">
      <alignment horizontal="left"/>
    </xf>
    <xf numFmtId="167" fontId="17" fillId="2" borderId="8" xfId="7" applyNumberFormat="1" applyFont="1" applyFill="1" applyBorder="1" applyAlignment="1"/>
    <xf numFmtId="167" fontId="17" fillId="0" borderId="0" xfId="7" applyNumberFormat="1" applyFont="1" applyFill="1" applyAlignment="1">
      <alignment horizontal="center" vertical="center"/>
    </xf>
    <xf numFmtId="167" fontId="17" fillId="0" borderId="0" xfId="7" applyNumberFormat="1" applyFont="1" applyFill="1" applyBorder="1" applyAlignment="1">
      <alignment horizontal="center" vertical="center"/>
    </xf>
    <xf numFmtId="0" fontId="2" fillId="0" borderId="0" xfId="7" applyFill="1" applyBorder="1" applyAlignment="1">
      <alignment horizontal="center" vertical="center"/>
    </xf>
    <xf numFmtId="0" fontId="2" fillId="0" borderId="0" xfId="7" applyFill="1" applyAlignment="1">
      <alignment horizontal="center" vertical="center"/>
    </xf>
    <xf numFmtId="0" fontId="2" fillId="13" borderId="0" xfId="7" applyFill="1" applyBorder="1"/>
    <xf numFmtId="0" fontId="2" fillId="13" borderId="0" xfId="7" applyFill="1"/>
    <xf numFmtId="171" fontId="2" fillId="0" borderId="0" xfId="7" applyNumberFormat="1" applyFill="1" applyBorder="1"/>
    <xf numFmtId="177" fontId="2" fillId="0" borderId="0" xfId="7" applyNumberFormat="1" applyFill="1" applyBorder="1"/>
    <xf numFmtId="0" fontId="19" fillId="2" borderId="0" xfId="7" applyFont="1" applyFill="1" applyBorder="1" applyAlignment="1">
      <alignment horizontal="left"/>
    </xf>
    <xf numFmtId="0" fontId="17" fillId="2" borderId="1" xfId="7" applyFont="1" applyFill="1" applyBorder="1" applyAlignment="1">
      <alignment horizontal="right"/>
    </xf>
    <xf numFmtId="1" fontId="17" fillId="2" borderId="2" xfId="7" applyNumberFormat="1" applyFont="1" applyFill="1" applyBorder="1" applyAlignment="1"/>
    <xf numFmtId="0" fontId="19" fillId="2" borderId="6" xfId="7" applyFont="1" applyFill="1" applyBorder="1"/>
    <xf numFmtId="0" fontId="19" fillId="2" borderId="7" xfId="7" applyFont="1" applyFill="1" applyBorder="1"/>
    <xf numFmtId="0" fontId="19" fillId="2" borderId="7" xfId="7" applyFont="1" applyFill="1" applyBorder="1" applyAlignment="1">
      <alignment horizontal="center"/>
    </xf>
    <xf numFmtId="2" fontId="19" fillId="2" borderId="6" xfId="7" applyNumberFormat="1" applyFont="1" applyFill="1" applyBorder="1" applyAlignment="1">
      <alignment horizontal="right"/>
    </xf>
    <xf numFmtId="2" fontId="19" fillId="2" borderId="7" xfId="7" applyNumberFormat="1" applyFont="1" applyFill="1" applyBorder="1" applyAlignment="1">
      <alignment horizontal="center"/>
    </xf>
    <xf numFmtId="2" fontId="19" fillId="2" borderId="8" xfId="7" applyNumberFormat="1" applyFont="1" applyFill="1" applyBorder="1" applyAlignment="1">
      <alignment horizontal="left"/>
    </xf>
    <xf numFmtId="0" fontId="25" fillId="2" borderId="0" xfId="2" applyFont="1" applyFill="1"/>
    <xf numFmtId="165" fontId="25" fillId="2" borderId="0" xfId="2" applyNumberFormat="1" applyFont="1" applyFill="1" applyAlignment="1">
      <alignment horizontal="center"/>
    </xf>
    <xf numFmtId="0" fontId="41" fillId="2" borderId="0" xfId="3" applyFont="1" applyFill="1" applyBorder="1" applyAlignment="1"/>
    <xf numFmtId="0" fontId="2" fillId="2" borderId="0" xfId="7" applyFont="1" applyFill="1"/>
    <xf numFmtId="14" fontId="5" fillId="0" borderId="7" xfId="0" applyNumberFormat="1" applyFont="1" applyBorder="1" applyAlignment="1" applyProtection="1">
      <alignment horizontal="center"/>
      <protection locked="0"/>
    </xf>
    <xf numFmtId="2" fontId="3" fillId="0" borderId="36" xfId="0" applyNumberFormat="1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14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left"/>
    </xf>
    <xf numFmtId="0" fontId="16" fillId="0" borderId="0" xfId="7" applyFont="1" applyFill="1" applyBorder="1" applyAlignment="1">
      <alignment horizontal="center"/>
    </xf>
    <xf numFmtId="14" fontId="16" fillId="0" borderId="11" xfId="5" applyNumberFormat="1" applyFont="1" applyFill="1" applyBorder="1" applyAlignment="1" applyProtection="1">
      <alignment horizontal="center"/>
      <protection locked="0"/>
    </xf>
    <xf numFmtId="14" fontId="22" fillId="0" borderId="0" xfId="5" applyNumberFormat="1" applyFont="1" applyFill="1" applyBorder="1" applyAlignment="1" applyProtection="1">
      <alignment horizontal="center"/>
      <protection locked="0"/>
    </xf>
    <xf numFmtId="14" fontId="19" fillId="0" borderId="0" xfId="5" applyNumberFormat="1" applyFont="1" applyFill="1" applyBorder="1" applyAlignment="1" applyProtection="1">
      <alignment horizontal="center"/>
      <protection locked="0"/>
    </xf>
    <xf numFmtId="0" fontId="19" fillId="0" borderId="14" xfId="5" applyFont="1" applyFill="1" applyBorder="1" applyAlignment="1">
      <alignment horizontal="center"/>
    </xf>
    <xf numFmtId="0" fontId="19" fillId="0" borderId="13" xfId="5" applyFont="1" applyFill="1" applyBorder="1" applyAlignment="1">
      <alignment horizontal="center"/>
    </xf>
    <xf numFmtId="0" fontId="19" fillId="0" borderId="15" xfId="5" applyFont="1" applyFill="1" applyBorder="1" applyAlignment="1">
      <alignment horizontal="center"/>
    </xf>
    <xf numFmtId="1" fontId="19" fillId="0" borderId="14" xfId="6" applyNumberFormat="1" applyFont="1" applyFill="1" applyBorder="1" applyAlignment="1">
      <alignment horizontal="center"/>
    </xf>
    <xf numFmtId="1" fontId="19" fillId="0" borderId="13" xfId="6" applyNumberFormat="1" applyFont="1" applyFill="1" applyBorder="1" applyAlignment="1">
      <alignment horizontal="center"/>
    </xf>
    <xf numFmtId="1" fontId="19" fillId="0" borderId="15" xfId="6" applyNumberFormat="1" applyFont="1" applyFill="1" applyBorder="1" applyAlignment="1">
      <alignment horizontal="center"/>
    </xf>
    <xf numFmtId="0" fontId="19" fillId="0" borderId="1" xfId="5" applyFont="1" applyFill="1" applyBorder="1" applyAlignment="1">
      <alignment horizontal="center" wrapText="1"/>
    </xf>
    <xf numFmtId="0" fontId="19" fillId="0" borderId="3" xfId="5" applyFont="1" applyFill="1" applyBorder="1" applyAlignment="1">
      <alignment horizontal="center"/>
    </xf>
    <xf numFmtId="0" fontId="19" fillId="0" borderId="6" xfId="5" applyFont="1" applyFill="1" applyBorder="1" applyAlignment="1">
      <alignment horizontal="center"/>
    </xf>
    <xf numFmtId="0" fontId="19" fillId="0" borderId="8" xfId="5" applyFont="1" applyFill="1" applyBorder="1" applyAlignment="1">
      <alignment horizontal="center"/>
    </xf>
    <xf numFmtId="0" fontId="19" fillId="0" borderId="26" xfId="5" applyFont="1" applyFill="1" applyBorder="1" applyAlignment="1">
      <alignment horizontal="center" wrapText="1"/>
    </xf>
    <xf numFmtId="0" fontId="19" fillId="0" borderId="10" xfId="5" applyFont="1" applyFill="1" applyBorder="1" applyAlignment="1">
      <alignment horizontal="center"/>
    </xf>
    <xf numFmtId="0" fontId="17" fillId="0" borderId="1" xfId="5" applyFont="1" applyFill="1" applyBorder="1" applyAlignment="1">
      <alignment horizontal="center"/>
    </xf>
    <xf numFmtId="0" fontId="17" fillId="0" borderId="2" xfId="5" applyFont="1" applyFill="1" applyBorder="1" applyAlignment="1">
      <alignment horizontal="center"/>
    </xf>
    <xf numFmtId="0" fontId="17" fillId="0" borderId="3" xfId="5" applyFont="1" applyFill="1" applyBorder="1" applyAlignment="1">
      <alignment horizontal="center"/>
    </xf>
    <xf numFmtId="0" fontId="17" fillId="0" borderId="6" xfId="5" applyFont="1" applyFill="1" applyBorder="1" applyAlignment="1">
      <alignment horizontal="center"/>
    </xf>
    <xf numFmtId="0" fontId="17" fillId="0" borderId="7" xfId="5" applyFont="1" applyFill="1" applyBorder="1" applyAlignment="1">
      <alignment horizontal="center"/>
    </xf>
    <xf numFmtId="0" fontId="17" fillId="0" borderId="8" xfId="5" applyFont="1" applyFill="1" applyBorder="1" applyAlignment="1">
      <alignment horizontal="center"/>
    </xf>
    <xf numFmtId="0" fontId="17" fillId="0" borderId="1" xfId="7" applyFont="1" applyFill="1" applyBorder="1" applyAlignment="1">
      <alignment horizontal="center" vertical="center" wrapText="1"/>
    </xf>
    <xf numFmtId="0" fontId="17" fillId="0" borderId="3" xfId="7" applyFont="1" applyFill="1" applyBorder="1" applyAlignment="1">
      <alignment horizontal="center" vertical="center"/>
    </xf>
    <xf numFmtId="0" fontId="17" fillId="0" borderId="4" xfId="7" applyFont="1" applyFill="1" applyBorder="1" applyAlignment="1">
      <alignment horizontal="center" vertical="center"/>
    </xf>
    <xf numFmtId="0" fontId="17" fillId="0" borderId="5" xfId="7" applyFont="1" applyFill="1" applyBorder="1" applyAlignment="1">
      <alignment horizontal="center" vertical="center"/>
    </xf>
    <xf numFmtId="0" fontId="17" fillId="0" borderId="6" xfId="7" applyFont="1" applyFill="1" applyBorder="1" applyAlignment="1">
      <alignment horizontal="center" vertical="center"/>
    </xf>
    <xf numFmtId="0" fontId="17" fillId="0" borderId="8" xfId="7" applyFont="1" applyFill="1" applyBorder="1" applyAlignment="1">
      <alignment horizontal="center" vertical="center"/>
    </xf>
    <xf numFmtId="0" fontId="17" fillId="0" borderId="26" xfId="7" applyFont="1" applyFill="1" applyBorder="1" applyAlignment="1">
      <alignment horizontal="center" vertical="center"/>
    </xf>
    <xf numFmtId="0" fontId="17" fillId="0" borderId="9" xfId="7" applyFont="1" applyFill="1" applyBorder="1" applyAlignment="1">
      <alignment horizontal="center" vertical="center"/>
    </xf>
    <xf numFmtId="0" fontId="17" fillId="0" borderId="10" xfId="7" applyFont="1" applyFill="1" applyBorder="1" applyAlignment="1">
      <alignment horizontal="center" vertical="center"/>
    </xf>
    <xf numFmtId="0" fontId="17" fillId="0" borderId="1" xfId="5" applyFont="1" applyFill="1" applyBorder="1" applyAlignment="1">
      <alignment horizontal="center" vertical="center"/>
    </xf>
    <xf numFmtId="0" fontId="17" fillId="0" borderId="3" xfId="5" applyFont="1" applyFill="1" applyBorder="1" applyAlignment="1">
      <alignment horizontal="center" vertical="center"/>
    </xf>
    <xf numFmtId="0" fontId="17" fillId="0" borderId="6" xfId="5" applyFont="1" applyFill="1" applyBorder="1" applyAlignment="1">
      <alignment horizontal="center" vertical="center"/>
    </xf>
    <xf numFmtId="0" fontId="17" fillId="0" borderId="8" xfId="5" applyFont="1" applyFill="1" applyBorder="1" applyAlignment="1">
      <alignment horizontal="center" vertical="center"/>
    </xf>
    <xf numFmtId="0" fontId="17" fillId="0" borderId="32" xfId="7" applyFont="1" applyFill="1" applyBorder="1" applyAlignment="1">
      <alignment horizontal="left"/>
    </xf>
    <xf numFmtId="0" fontId="17" fillId="0" borderId="19" xfId="7" applyFont="1" applyFill="1" applyBorder="1" applyAlignment="1">
      <alignment horizontal="left"/>
    </xf>
    <xf numFmtId="0" fontId="17" fillId="0" borderId="27" xfId="5" applyFont="1" applyFill="1" applyBorder="1" applyAlignment="1">
      <alignment horizontal="left"/>
    </xf>
    <xf numFmtId="0" fontId="17" fillId="0" borderId="21" xfId="5" applyFont="1" applyFill="1" applyBorder="1" applyAlignment="1">
      <alignment horizontal="left"/>
    </xf>
    <xf numFmtId="0" fontId="17" fillId="0" borderId="14" xfId="7" applyFont="1" applyFill="1" applyBorder="1" applyAlignment="1">
      <alignment horizontal="left"/>
    </xf>
    <xf numFmtId="0" fontId="17" fillId="0" borderId="13" xfId="7" applyFont="1" applyFill="1" applyBorder="1" applyAlignment="1">
      <alignment horizontal="left"/>
    </xf>
    <xf numFmtId="0" fontId="17" fillId="0" borderId="15" xfId="7" applyFont="1" applyFill="1" applyBorder="1" applyAlignment="1">
      <alignment horizontal="left"/>
    </xf>
    <xf numFmtId="0" fontId="17" fillId="0" borderId="1" xfId="8" applyNumberFormat="1" applyFont="1" applyFill="1" applyBorder="1" applyAlignment="1" applyProtection="1">
      <alignment horizontal="center"/>
      <protection locked="0"/>
    </xf>
    <xf numFmtId="0" fontId="17" fillId="0" borderId="13" xfId="8" applyNumberFormat="1" applyFont="1" applyFill="1" applyBorder="1" applyAlignment="1" applyProtection="1">
      <alignment horizontal="center"/>
      <protection locked="0"/>
    </xf>
    <xf numFmtId="0" fontId="17" fillId="0" borderId="15" xfId="8" applyNumberFormat="1" applyFont="1" applyFill="1" applyBorder="1" applyAlignment="1" applyProtection="1">
      <alignment horizontal="center"/>
      <protection locked="0"/>
    </xf>
    <xf numFmtId="0" fontId="17" fillId="0" borderId="1" xfId="7" applyFont="1" applyFill="1" applyBorder="1" applyAlignment="1">
      <alignment horizontal="center" vertical="center"/>
    </xf>
    <xf numFmtId="1" fontId="17" fillId="0" borderId="32" xfId="7" applyNumberFormat="1" applyFont="1" applyFill="1" applyBorder="1" applyAlignment="1">
      <alignment horizontal="center"/>
    </xf>
    <xf numFmtId="1" fontId="17" fillId="0" borderId="31" xfId="7" applyNumberFormat="1" applyFont="1" applyFill="1" applyBorder="1" applyAlignment="1">
      <alignment horizontal="center"/>
    </xf>
    <xf numFmtId="1" fontId="17" fillId="0" borderId="19" xfId="7" applyNumberFormat="1" applyFont="1" applyFill="1" applyBorder="1" applyAlignment="1">
      <alignment horizontal="center"/>
    </xf>
    <xf numFmtId="1" fontId="17" fillId="0" borderId="27" xfId="7" applyNumberFormat="1" applyFont="1" applyFill="1" applyBorder="1" applyAlignment="1">
      <alignment horizontal="center"/>
    </xf>
    <xf numFmtId="1" fontId="17" fillId="0" borderId="36" xfId="7" applyNumberFormat="1" applyFont="1" applyFill="1" applyBorder="1" applyAlignment="1">
      <alignment horizontal="center"/>
    </xf>
    <xf numFmtId="1" fontId="17" fillId="0" borderId="21" xfId="7" applyNumberFormat="1" applyFont="1" applyFill="1" applyBorder="1" applyAlignment="1">
      <alignment horizontal="center"/>
    </xf>
    <xf numFmtId="0" fontId="17" fillId="0" borderId="4" xfId="8" applyNumberFormat="1" applyFont="1" applyFill="1" applyBorder="1" applyAlignment="1" applyProtection="1">
      <alignment horizontal="center"/>
      <protection locked="0"/>
    </xf>
    <xf numFmtId="0" fontId="17" fillId="0" borderId="0" xfId="8" applyNumberFormat="1" applyFont="1" applyFill="1" applyBorder="1" applyAlignment="1" applyProtection="1">
      <alignment horizontal="center"/>
      <protection locked="0"/>
    </xf>
    <xf numFmtId="0" fontId="17" fillId="0" borderId="5" xfId="8" applyNumberFormat="1" applyFont="1" applyFill="1" applyBorder="1" applyAlignment="1" applyProtection="1">
      <alignment horizontal="center"/>
      <protection locked="0"/>
    </xf>
    <xf numFmtId="0" fontId="17" fillId="0" borderId="31" xfId="7" applyFont="1" applyFill="1" applyBorder="1" applyAlignment="1">
      <alignment horizontal="left"/>
    </xf>
    <xf numFmtId="0" fontId="17" fillId="0" borderId="36" xfId="5" applyFont="1" applyFill="1" applyBorder="1" applyAlignment="1">
      <alignment horizontal="left"/>
    </xf>
    <xf numFmtId="0" fontId="17" fillId="0" borderId="2" xfId="7" applyFont="1" applyFill="1" applyBorder="1" applyAlignment="1">
      <alignment horizontal="center" vertical="center"/>
    </xf>
    <xf numFmtId="0" fontId="17" fillId="0" borderId="7" xfId="7" applyFont="1" applyFill="1" applyBorder="1" applyAlignment="1">
      <alignment horizontal="center" vertical="center"/>
    </xf>
    <xf numFmtId="0" fontId="17" fillId="0" borderId="1" xfId="7" applyFont="1" applyFill="1" applyBorder="1" applyAlignment="1">
      <alignment horizontal="center"/>
    </xf>
    <xf numFmtId="0" fontId="17" fillId="0" borderId="3" xfId="7" applyFont="1" applyFill="1" applyBorder="1" applyAlignment="1">
      <alignment horizontal="center"/>
    </xf>
    <xf numFmtId="0" fontId="17" fillId="0" borderId="6" xfId="7" applyFont="1" applyFill="1" applyBorder="1" applyAlignment="1">
      <alignment horizontal="center"/>
    </xf>
    <xf numFmtId="0" fontId="17" fillId="0" borderId="8" xfId="7" applyFont="1" applyFill="1" applyBorder="1" applyAlignment="1">
      <alignment horizontal="center"/>
    </xf>
    <xf numFmtId="1" fontId="19" fillId="0" borderId="1" xfId="6" applyNumberFormat="1" applyFont="1" applyFill="1" applyBorder="1" applyAlignment="1">
      <alignment horizontal="center" vertical="center"/>
    </xf>
    <xf numFmtId="1" fontId="19" fillId="0" borderId="2" xfId="6" applyNumberFormat="1" applyFont="1" applyFill="1" applyBorder="1" applyAlignment="1">
      <alignment horizontal="center" vertical="center"/>
    </xf>
    <xf numFmtId="1" fontId="19" fillId="0" borderId="3" xfId="6" applyNumberFormat="1" applyFont="1" applyFill="1" applyBorder="1" applyAlignment="1">
      <alignment horizontal="center" vertical="center"/>
    </xf>
    <xf numFmtId="1" fontId="19" fillId="0" borderId="4" xfId="6" applyNumberFormat="1" applyFont="1" applyFill="1" applyBorder="1" applyAlignment="1">
      <alignment horizontal="center" vertical="center"/>
    </xf>
    <xf numFmtId="1" fontId="19" fillId="0" borderId="0" xfId="6" applyNumberFormat="1" applyFont="1" applyFill="1" applyBorder="1" applyAlignment="1">
      <alignment horizontal="center" vertical="center"/>
    </xf>
    <xf numFmtId="1" fontId="19" fillId="0" borderId="5" xfId="6" applyNumberFormat="1" applyFont="1" applyFill="1" applyBorder="1" applyAlignment="1">
      <alignment horizontal="center" vertical="center"/>
    </xf>
    <xf numFmtId="164" fontId="17" fillId="0" borderId="0" xfId="10" applyFont="1" applyFill="1" applyBorder="1" applyAlignment="1">
      <alignment horizontal="center"/>
    </xf>
    <xf numFmtId="2" fontId="17" fillId="0" borderId="7" xfId="7" applyNumberFormat="1" applyFont="1" applyFill="1" applyBorder="1" applyAlignment="1">
      <alignment horizontal="center"/>
    </xf>
    <xf numFmtId="0" fontId="19" fillId="0" borderId="1" xfId="7" applyFont="1" applyFill="1" applyBorder="1" applyAlignment="1">
      <alignment horizontal="left"/>
    </xf>
    <xf numFmtId="0" fontId="19" fillId="0" borderId="2" xfId="7" applyFont="1" applyFill="1" applyBorder="1" applyAlignment="1">
      <alignment horizontal="left"/>
    </xf>
    <xf numFmtId="2" fontId="17" fillId="0" borderId="23" xfId="7" applyNumberFormat="1" applyFont="1" applyFill="1" applyBorder="1" applyAlignment="1">
      <alignment horizontal="center"/>
    </xf>
    <xf numFmtId="2" fontId="17" fillId="0" borderId="24" xfId="7" applyNumberFormat="1" applyFont="1" applyFill="1" applyBorder="1" applyAlignment="1">
      <alignment horizontal="center"/>
    </xf>
    <xf numFmtId="2" fontId="17" fillId="0" borderId="25" xfId="7" applyNumberFormat="1" applyFont="1" applyFill="1" applyBorder="1" applyAlignment="1">
      <alignment horizontal="center"/>
    </xf>
    <xf numFmtId="0" fontId="19" fillId="0" borderId="6" xfId="7" applyFont="1" applyFill="1" applyBorder="1" applyAlignment="1">
      <alignment horizontal="left"/>
    </xf>
    <xf numFmtId="0" fontId="19" fillId="0" borderId="7" xfId="7" applyFont="1" applyFill="1" applyBorder="1" applyAlignment="1">
      <alignment horizontal="left"/>
    </xf>
    <xf numFmtId="0" fontId="17" fillId="0" borderId="2" xfId="7" applyFont="1" applyFill="1" applyBorder="1" applyAlignment="1">
      <alignment horizontal="center"/>
    </xf>
    <xf numFmtId="0" fontId="17" fillId="0" borderId="7" xfId="7" applyFont="1" applyFill="1" applyBorder="1" applyAlignment="1">
      <alignment horizontal="center"/>
    </xf>
    <xf numFmtId="0" fontId="17" fillId="0" borderId="23" xfId="7" applyFont="1" applyFill="1" applyBorder="1" applyAlignment="1">
      <alignment horizontal="left"/>
    </xf>
    <xf numFmtId="0" fontId="17" fillId="0" borderId="24" xfId="7" applyFont="1" applyFill="1" applyBorder="1" applyAlignment="1">
      <alignment horizontal="left"/>
    </xf>
    <xf numFmtId="0" fontId="17" fillId="0" borderId="25" xfId="7" applyFont="1" applyFill="1" applyBorder="1" applyAlignment="1">
      <alignment horizontal="left"/>
    </xf>
    <xf numFmtId="0" fontId="17" fillId="0" borderId="22" xfId="7" applyFont="1" applyFill="1" applyBorder="1" applyAlignment="1">
      <alignment horizontal="left"/>
    </xf>
    <xf numFmtId="0" fontId="17" fillId="0" borderId="51" xfId="7" applyFont="1" applyFill="1" applyBorder="1" applyAlignment="1">
      <alignment horizontal="left"/>
    </xf>
    <xf numFmtId="0" fontId="17" fillId="0" borderId="52" xfId="7" applyFont="1" applyFill="1" applyBorder="1" applyAlignment="1">
      <alignment horizontal="left"/>
    </xf>
    <xf numFmtId="0" fontId="17" fillId="0" borderId="6" xfId="7" applyFont="1" applyFill="1" applyBorder="1" applyAlignment="1">
      <alignment horizontal="left"/>
    </xf>
    <xf numFmtId="0" fontId="17" fillId="0" borderId="7" xfId="7" applyFont="1" applyFill="1" applyBorder="1" applyAlignment="1">
      <alignment horizontal="left"/>
    </xf>
    <xf numFmtId="0" fontId="17" fillId="0" borderId="69" xfId="7" applyFont="1" applyFill="1" applyBorder="1" applyAlignment="1">
      <alignment horizontal="right"/>
    </xf>
    <xf numFmtId="0" fontId="17" fillId="0" borderId="6" xfId="7" applyFont="1" applyFill="1" applyBorder="1" applyAlignment="1">
      <alignment horizontal="right"/>
    </xf>
    <xf numFmtId="0" fontId="17" fillId="0" borderId="7" xfId="7" applyFont="1" applyFill="1" applyBorder="1" applyAlignment="1">
      <alignment horizontal="right"/>
    </xf>
    <xf numFmtId="0" fontId="17" fillId="0" borderId="14" xfId="7" applyFont="1" applyFill="1" applyBorder="1" applyAlignment="1" applyProtection="1">
      <alignment horizontal="center"/>
      <protection locked="0"/>
    </xf>
    <xf numFmtId="0" fontId="17" fillId="0" borderId="13" xfId="7" applyFont="1" applyFill="1" applyBorder="1" applyAlignment="1" applyProtection="1">
      <alignment horizontal="center"/>
      <protection locked="0"/>
    </xf>
    <xf numFmtId="0" fontId="17" fillId="0" borderId="15" xfId="7" applyFont="1" applyFill="1" applyBorder="1" applyAlignment="1" applyProtection="1">
      <alignment horizontal="center"/>
      <protection locked="0"/>
    </xf>
    <xf numFmtId="167" fontId="17" fillId="0" borderId="1" xfId="7" applyNumberFormat="1" applyFont="1" applyFill="1" applyBorder="1" applyAlignment="1">
      <alignment horizontal="center"/>
    </xf>
    <xf numFmtId="167" fontId="17" fillId="0" borderId="2" xfId="7" applyNumberFormat="1" applyFont="1" applyFill="1" applyBorder="1" applyAlignment="1">
      <alignment horizontal="center"/>
    </xf>
    <xf numFmtId="167" fontId="17" fillId="0" borderId="3" xfId="7" applyNumberFormat="1" applyFont="1" applyFill="1" applyBorder="1" applyAlignment="1">
      <alignment horizontal="center"/>
    </xf>
    <xf numFmtId="167" fontId="17" fillId="0" borderId="6" xfId="7" applyNumberFormat="1" applyFont="1" applyFill="1" applyBorder="1" applyAlignment="1">
      <alignment horizontal="center"/>
    </xf>
    <xf numFmtId="167" fontId="17" fillId="0" borderId="7" xfId="7" applyNumberFormat="1" applyFont="1" applyFill="1" applyBorder="1" applyAlignment="1">
      <alignment horizontal="center"/>
    </xf>
    <xf numFmtId="167" fontId="17" fillId="0" borderId="8" xfId="7" applyNumberFormat="1" applyFont="1" applyFill="1" applyBorder="1" applyAlignment="1">
      <alignment horizontal="center"/>
    </xf>
    <xf numFmtId="0" fontId="19" fillId="0" borderId="3" xfId="7" applyFont="1" applyFill="1" applyBorder="1" applyAlignment="1">
      <alignment horizontal="left"/>
    </xf>
    <xf numFmtId="0" fontId="17" fillId="0" borderId="14" xfId="8" applyNumberFormat="1" applyFont="1" applyFill="1" applyBorder="1" applyAlignment="1" applyProtection="1">
      <alignment horizontal="center"/>
      <protection locked="0"/>
    </xf>
    <xf numFmtId="2" fontId="17" fillId="0" borderId="0" xfId="7" applyNumberFormat="1" applyFont="1" applyFill="1" applyBorder="1" applyAlignment="1">
      <alignment horizontal="center"/>
    </xf>
    <xf numFmtId="0" fontId="17" fillId="0" borderId="4" xfId="7" applyFont="1" applyFill="1" applyBorder="1" applyAlignment="1">
      <alignment horizontal="center" vertical="center" wrapText="1"/>
    </xf>
    <xf numFmtId="0" fontId="17" fillId="0" borderId="4" xfId="5" applyFont="1" applyFill="1" applyBorder="1" applyAlignment="1">
      <alignment horizontal="center" vertical="center"/>
    </xf>
    <xf numFmtId="0" fontId="17" fillId="0" borderId="5" xfId="5" applyFont="1" applyFill="1" applyBorder="1" applyAlignment="1">
      <alignment horizontal="center" vertical="center"/>
    </xf>
    <xf numFmtId="0" fontId="17" fillId="0" borderId="33" xfId="7" applyFont="1" applyFill="1" applyBorder="1" applyAlignment="1">
      <alignment horizontal="left"/>
    </xf>
    <xf numFmtId="0" fontId="17" fillId="0" borderId="20" xfId="7" applyFont="1" applyFill="1" applyBorder="1" applyAlignment="1">
      <alignment horizontal="left"/>
    </xf>
    <xf numFmtId="0" fontId="17" fillId="0" borderId="2" xfId="7" applyFont="1" applyFill="1" applyBorder="1" applyAlignment="1">
      <alignment horizontal="left"/>
    </xf>
    <xf numFmtId="0" fontId="17" fillId="0" borderId="3" xfId="7" applyFont="1" applyFill="1" applyBorder="1" applyAlignment="1">
      <alignment horizontal="left"/>
    </xf>
    <xf numFmtId="0" fontId="17" fillId="0" borderId="14" xfId="1" applyNumberFormat="1" applyFont="1" applyFill="1" applyBorder="1" applyAlignment="1">
      <alignment horizontal="center"/>
    </xf>
    <xf numFmtId="0" fontId="17" fillId="0" borderId="13" xfId="1" applyNumberFormat="1" applyFont="1" applyFill="1" applyBorder="1" applyAlignment="1">
      <alignment horizontal="center"/>
    </xf>
    <xf numFmtId="0" fontId="17" fillId="0" borderId="15" xfId="1" applyNumberFormat="1" applyFont="1" applyFill="1" applyBorder="1" applyAlignment="1">
      <alignment horizontal="center"/>
    </xf>
    <xf numFmtId="0" fontId="17" fillId="0" borderId="0" xfId="7" applyFont="1" applyFill="1" applyBorder="1" applyAlignment="1">
      <alignment horizontal="center" vertical="center"/>
    </xf>
    <xf numFmtId="0" fontId="17" fillId="0" borderId="57" xfId="7" applyFont="1" applyFill="1" applyBorder="1" applyAlignment="1">
      <alignment horizontal="left"/>
    </xf>
    <xf numFmtId="1" fontId="17" fillId="0" borderId="23" xfId="7" applyNumberFormat="1" applyFont="1" applyFill="1" applyBorder="1" applyAlignment="1">
      <alignment horizontal="center"/>
    </xf>
    <xf numFmtId="1" fontId="17" fillId="0" borderId="24" xfId="7" applyNumberFormat="1" applyFont="1" applyFill="1" applyBorder="1" applyAlignment="1">
      <alignment horizontal="center"/>
    </xf>
    <xf numFmtId="1" fontId="17" fillId="0" borderId="25" xfId="7" applyNumberFormat="1" applyFont="1" applyFill="1" applyBorder="1" applyAlignment="1">
      <alignment horizontal="center"/>
    </xf>
    <xf numFmtId="0" fontId="17" fillId="0" borderId="12" xfId="7" applyFont="1" applyFill="1" applyBorder="1" applyAlignment="1">
      <alignment horizontal="left"/>
    </xf>
    <xf numFmtId="0" fontId="17" fillId="0" borderId="60" xfId="7" applyFont="1" applyFill="1" applyBorder="1" applyAlignment="1">
      <alignment horizontal="left"/>
    </xf>
    <xf numFmtId="1" fontId="17" fillId="0" borderId="12" xfId="7" applyNumberFormat="1" applyFont="1" applyFill="1" applyBorder="1" applyAlignment="1">
      <alignment horizontal="center"/>
    </xf>
    <xf numFmtId="1" fontId="17" fillId="0" borderId="17" xfId="7" applyNumberFormat="1" applyFont="1" applyFill="1" applyBorder="1" applyAlignment="1">
      <alignment horizontal="center"/>
    </xf>
    <xf numFmtId="1" fontId="17" fillId="0" borderId="18" xfId="7" applyNumberFormat="1" applyFont="1" applyFill="1" applyBorder="1" applyAlignment="1">
      <alignment horizontal="center"/>
    </xf>
    <xf numFmtId="0" fontId="17" fillId="0" borderId="22" xfId="5" applyFont="1" applyFill="1" applyBorder="1" applyAlignment="1">
      <alignment horizontal="left"/>
    </xf>
    <xf numFmtId="0" fontId="17" fillId="0" borderId="64" xfId="5" applyFont="1" applyFill="1" applyBorder="1" applyAlignment="1">
      <alignment horizontal="left"/>
    </xf>
    <xf numFmtId="1" fontId="17" fillId="0" borderId="22" xfId="7" applyNumberFormat="1" applyFont="1" applyFill="1" applyBorder="1" applyAlignment="1">
      <alignment horizontal="center"/>
    </xf>
    <xf numFmtId="1" fontId="17" fillId="0" borderId="51" xfId="7" applyNumberFormat="1" applyFont="1" applyFill="1" applyBorder="1" applyAlignment="1">
      <alignment horizontal="center"/>
    </xf>
    <xf numFmtId="1" fontId="17" fillId="0" borderId="52" xfId="7" applyNumberFormat="1" applyFont="1" applyFill="1" applyBorder="1" applyAlignment="1">
      <alignment horizontal="center"/>
    </xf>
    <xf numFmtId="0" fontId="17" fillId="0" borderId="8" xfId="7" applyFont="1" applyFill="1" applyBorder="1" applyAlignment="1">
      <alignment horizontal="left"/>
    </xf>
    <xf numFmtId="0" fontId="17" fillId="0" borderId="30" xfId="7" applyFont="1" applyFill="1" applyBorder="1" applyAlignment="1">
      <alignment horizontal="left"/>
    </xf>
    <xf numFmtId="0" fontId="17" fillId="0" borderId="4" xfId="7" applyFont="1" applyFill="1" applyBorder="1" applyAlignment="1">
      <alignment horizontal="center"/>
    </xf>
    <xf numFmtId="0" fontId="17" fillId="0" borderId="5" xfId="7" applyFont="1" applyFill="1" applyBorder="1" applyAlignment="1">
      <alignment horizontal="center"/>
    </xf>
    <xf numFmtId="1" fontId="19" fillId="0" borderId="6" xfId="6" applyNumberFormat="1" applyFont="1" applyFill="1" applyBorder="1" applyAlignment="1">
      <alignment horizontal="center" vertical="center"/>
    </xf>
    <xf numFmtId="1" fontId="19" fillId="0" borderId="7" xfId="6" applyNumberFormat="1" applyFont="1" applyFill="1" applyBorder="1" applyAlignment="1">
      <alignment horizontal="center" vertical="center"/>
    </xf>
    <xf numFmtId="1" fontId="19" fillId="0" borderId="8" xfId="6" applyNumberFormat="1" applyFont="1" applyFill="1" applyBorder="1" applyAlignment="1">
      <alignment horizontal="center" vertical="center"/>
    </xf>
    <xf numFmtId="2" fontId="17" fillId="0" borderId="2" xfId="7" applyNumberFormat="1" applyFont="1" applyFill="1" applyBorder="1" applyAlignment="1">
      <alignment horizontal="center"/>
    </xf>
    <xf numFmtId="0" fontId="17" fillId="0" borderId="54" xfId="7" applyFont="1" applyFill="1" applyBorder="1" applyAlignment="1">
      <alignment horizontal="left"/>
    </xf>
    <xf numFmtId="0" fontId="17" fillId="0" borderId="55" xfId="7" applyFont="1" applyFill="1" applyBorder="1" applyAlignment="1">
      <alignment horizontal="left"/>
    </xf>
    <xf numFmtId="0" fontId="17" fillId="0" borderId="64" xfId="7" applyFont="1" applyFill="1" applyBorder="1" applyAlignment="1">
      <alignment horizontal="left"/>
    </xf>
    <xf numFmtId="2" fontId="17" fillId="0" borderId="32" xfId="7" applyNumberFormat="1" applyFont="1" applyFill="1" applyBorder="1" applyAlignment="1">
      <alignment horizontal="center"/>
    </xf>
    <xf numFmtId="2" fontId="17" fillId="0" borderId="43" xfId="7" applyNumberFormat="1" applyFont="1" applyFill="1" applyBorder="1" applyAlignment="1">
      <alignment horizontal="center"/>
    </xf>
    <xf numFmtId="2" fontId="17" fillId="0" borderId="57" xfId="7" applyNumberFormat="1" applyFont="1" applyFill="1" applyBorder="1" applyAlignment="1">
      <alignment horizontal="center"/>
    </xf>
    <xf numFmtId="2" fontId="17" fillId="0" borderId="19" xfId="7" applyNumberFormat="1" applyFont="1" applyFill="1" applyBorder="1" applyAlignment="1">
      <alignment horizontal="center"/>
    </xf>
    <xf numFmtId="0" fontId="19" fillId="0" borderId="8" xfId="7" applyFont="1" applyFill="1" applyBorder="1" applyAlignment="1">
      <alignment horizontal="left"/>
    </xf>
    <xf numFmtId="0" fontId="17" fillId="0" borderId="27" xfId="7" applyFont="1" applyFill="1" applyBorder="1" applyAlignment="1">
      <alignment horizontal="left"/>
    </xf>
    <xf numFmtId="0" fontId="17" fillId="0" borderId="36" xfId="7" applyFont="1" applyFill="1" applyBorder="1" applyAlignment="1">
      <alignment horizontal="left"/>
    </xf>
    <xf numFmtId="0" fontId="17" fillId="0" borderId="21" xfId="7" applyFont="1" applyFill="1" applyBorder="1" applyAlignment="1">
      <alignment horizontal="left"/>
    </xf>
    <xf numFmtId="0" fontId="19" fillId="0" borderId="14" xfId="5" applyFont="1" applyFill="1" applyBorder="1" applyAlignment="1">
      <alignment horizontal="center" vertical="center"/>
    </xf>
    <xf numFmtId="0" fontId="19" fillId="0" borderId="13" xfId="5" applyFont="1" applyFill="1" applyBorder="1" applyAlignment="1">
      <alignment horizontal="center" vertical="center"/>
    </xf>
    <xf numFmtId="0" fontId="19" fillId="0" borderId="15" xfId="5" applyFont="1" applyFill="1" applyBorder="1" applyAlignment="1">
      <alignment horizontal="center" vertical="center"/>
    </xf>
    <xf numFmtId="1" fontId="19" fillId="0" borderId="14" xfId="6" applyNumberFormat="1" applyFont="1" applyFill="1" applyBorder="1" applyAlignment="1">
      <alignment horizontal="center" vertical="center"/>
    </xf>
    <xf numFmtId="1" fontId="19" fillId="0" borderId="13" xfId="6" applyNumberFormat="1" applyFont="1" applyFill="1" applyBorder="1" applyAlignment="1">
      <alignment horizontal="center" vertical="center"/>
    </xf>
    <xf numFmtId="1" fontId="19" fillId="0" borderId="15" xfId="6" applyNumberFormat="1" applyFont="1" applyFill="1" applyBorder="1" applyAlignment="1">
      <alignment horizontal="center" vertical="center"/>
    </xf>
    <xf numFmtId="0" fontId="19" fillId="0" borderId="1" xfId="5" applyFont="1" applyFill="1" applyBorder="1" applyAlignment="1">
      <alignment horizontal="center" vertical="center" wrapText="1"/>
    </xf>
    <xf numFmtId="0" fontId="19" fillId="0" borderId="3" xfId="5" applyFont="1" applyFill="1" applyBorder="1" applyAlignment="1">
      <alignment horizontal="center" vertical="center"/>
    </xf>
    <xf numFmtId="0" fontId="19" fillId="0" borderId="6" xfId="5" applyFont="1" applyFill="1" applyBorder="1" applyAlignment="1">
      <alignment horizontal="center" vertical="center"/>
    </xf>
    <xf numFmtId="0" fontId="19" fillId="0" borderId="8" xfId="5" applyFont="1" applyFill="1" applyBorder="1" applyAlignment="1">
      <alignment horizontal="center" vertical="center"/>
    </xf>
    <xf numFmtId="0" fontId="19" fillId="0" borderId="26" xfId="5" applyFont="1" applyFill="1" applyBorder="1" applyAlignment="1">
      <alignment horizontal="center" vertical="center" wrapText="1"/>
    </xf>
    <xf numFmtId="0" fontId="19" fillId="0" borderId="10" xfId="5" applyFont="1" applyFill="1" applyBorder="1" applyAlignment="1">
      <alignment horizontal="center" vertical="center"/>
    </xf>
    <xf numFmtId="0" fontId="17" fillId="0" borderId="2" xfId="5" applyFont="1" applyFill="1" applyBorder="1" applyAlignment="1">
      <alignment horizontal="center" vertical="center"/>
    </xf>
    <xf numFmtId="0" fontId="17" fillId="0" borderId="7" xfId="5" applyFont="1" applyFill="1" applyBorder="1" applyAlignment="1">
      <alignment horizontal="center" vertical="center"/>
    </xf>
    <xf numFmtId="0" fontId="17" fillId="0" borderId="32" xfId="7" applyFont="1" applyFill="1" applyBorder="1" applyAlignment="1">
      <alignment horizontal="left" vertical="center"/>
    </xf>
    <xf numFmtId="0" fontId="17" fillId="0" borderId="19" xfId="7" applyFont="1" applyFill="1" applyBorder="1" applyAlignment="1">
      <alignment horizontal="left" vertical="center"/>
    </xf>
    <xf numFmtId="0" fontId="17" fillId="0" borderId="27" xfId="5" applyFont="1" applyFill="1" applyBorder="1" applyAlignment="1">
      <alignment horizontal="left" vertical="center"/>
    </xf>
    <xf numFmtId="0" fontId="17" fillId="0" borderId="21" xfId="5" applyFont="1" applyFill="1" applyBorder="1" applyAlignment="1">
      <alignment horizontal="left" vertical="center"/>
    </xf>
    <xf numFmtId="0" fontId="17" fillId="2" borderId="1" xfId="7" applyFont="1" applyFill="1" applyBorder="1" applyAlignment="1">
      <alignment horizontal="center" vertical="center"/>
    </xf>
    <xf numFmtId="0" fontId="17" fillId="2" borderId="3" xfId="7" applyFont="1" applyFill="1" applyBorder="1" applyAlignment="1">
      <alignment horizontal="center" vertical="center"/>
    </xf>
    <xf numFmtId="0" fontId="17" fillId="2" borderId="6" xfId="7" applyFont="1" applyFill="1" applyBorder="1" applyAlignment="1">
      <alignment horizontal="center" vertical="center"/>
    </xf>
    <xf numFmtId="0" fontId="17" fillId="2" borderId="8" xfId="7" applyFont="1" applyFill="1" applyBorder="1" applyAlignment="1">
      <alignment horizontal="center" vertical="center"/>
    </xf>
    <xf numFmtId="0" fontId="17" fillId="2" borderId="32" xfId="7" applyFont="1" applyFill="1" applyBorder="1" applyAlignment="1">
      <alignment horizontal="left"/>
    </xf>
    <xf numFmtId="0" fontId="17" fillId="2" borderId="19" xfId="7" applyFont="1" applyFill="1" applyBorder="1" applyAlignment="1">
      <alignment horizontal="left"/>
    </xf>
    <xf numFmtId="0" fontId="17" fillId="2" borderId="27" xfId="5" applyFont="1" applyFill="1" applyBorder="1" applyAlignment="1">
      <alignment horizontal="left"/>
    </xf>
    <xf numFmtId="0" fontId="17" fillId="2" borderId="21" xfId="5" applyFont="1" applyFill="1" applyBorder="1" applyAlignment="1">
      <alignment horizontal="left"/>
    </xf>
    <xf numFmtId="0" fontId="17" fillId="0" borderId="1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26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0" xfId="7" applyFont="1" applyFill="1" applyBorder="1" applyAlignment="1">
      <alignment horizontal="left" vertical="center"/>
    </xf>
    <xf numFmtId="0" fontId="17" fillId="0" borderId="0" xfId="5" applyFont="1" applyFill="1" applyBorder="1" applyAlignment="1">
      <alignment horizontal="left" vertical="center"/>
    </xf>
    <xf numFmtId="2" fontId="17" fillId="0" borderId="13" xfId="7" applyNumberFormat="1" applyFont="1" applyFill="1" applyBorder="1" applyAlignment="1">
      <alignment horizontal="center"/>
    </xf>
    <xf numFmtId="0" fontId="19" fillId="0" borderId="1" xfId="7" applyFont="1" applyFill="1" applyBorder="1" applyAlignment="1">
      <alignment horizontal="left" vertical="center"/>
    </xf>
    <xf numFmtId="0" fontId="19" fillId="0" borderId="2" xfId="7" applyFont="1" applyFill="1" applyBorder="1" applyAlignment="1">
      <alignment horizontal="left" vertical="center"/>
    </xf>
    <xf numFmtId="2" fontId="17" fillId="0" borderId="23" xfId="7" applyNumberFormat="1" applyFont="1" applyFill="1" applyBorder="1" applyAlignment="1">
      <alignment horizontal="center" vertical="center"/>
    </xf>
    <xf numFmtId="2" fontId="17" fillId="0" borderId="24" xfId="7" applyNumberFormat="1" applyFont="1" applyFill="1" applyBorder="1" applyAlignment="1">
      <alignment horizontal="center" vertical="center"/>
    </xf>
    <xf numFmtId="2" fontId="17" fillId="0" borderId="25" xfId="7" applyNumberFormat="1" applyFont="1" applyFill="1" applyBorder="1" applyAlignment="1">
      <alignment horizontal="center" vertical="center"/>
    </xf>
    <xf numFmtId="0" fontId="41" fillId="0" borderId="6" xfId="7" applyFont="1" applyFill="1" applyBorder="1" applyAlignment="1">
      <alignment horizontal="left" vertical="center"/>
    </xf>
    <xf numFmtId="0" fontId="41" fillId="0" borderId="7" xfId="7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32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33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27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14" xfId="0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15" xfId="0" applyFill="1" applyBorder="1" applyAlignment="1">
      <alignment horizontal="left"/>
    </xf>
    <xf numFmtId="0" fontId="0" fillId="0" borderId="32" xfId="0" applyFill="1" applyBorder="1" applyAlignment="1">
      <alignment horizontal="left"/>
    </xf>
    <xf numFmtId="0" fontId="0" fillId="0" borderId="19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27" xfId="0" applyFill="1" applyBorder="1" applyAlignment="1">
      <alignment horizontal="left"/>
    </xf>
    <xf numFmtId="0" fontId="0" fillId="0" borderId="21" xfId="0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2" fontId="0" fillId="0" borderId="2" xfId="0" applyNumberFormat="1" applyFill="1" applyBorder="1" applyAlignment="1">
      <alignment horizontal="left"/>
    </xf>
    <xf numFmtId="2" fontId="0" fillId="0" borderId="7" xfId="0" applyNumberForma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6" fillId="0" borderId="32" xfId="0" applyFont="1" applyFill="1" applyBorder="1" applyAlignment="1">
      <alignment horizontal="center"/>
    </xf>
    <xf numFmtId="0" fontId="6" fillId="0" borderId="43" xfId="0" applyFont="1" applyFill="1" applyBorder="1" applyAlignment="1">
      <alignment horizontal="center"/>
    </xf>
    <xf numFmtId="0" fontId="6" fillId="0" borderId="57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1" fillId="0" borderId="32" xfId="0" applyFont="1" applyFill="1" applyBorder="1" applyAlignment="1">
      <alignment horizontal="left"/>
    </xf>
    <xf numFmtId="0" fontId="1" fillId="0" borderId="31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0" fillId="0" borderId="30" xfId="0" applyFill="1" applyBorder="1" applyAlignment="1">
      <alignment horizontal="left"/>
    </xf>
    <xf numFmtId="0" fontId="0" fillId="0" borderId="20" xfId="0" applyFill="1" applyBorder="1" applyAlignment="1">
      <alignment horizontal="left"/>
    </xf>
    <xf numFmtId="0" fontId="0" fillId="0" borderId="16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56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1" fillId="0" borderId="16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1" fillId="0" borderId="56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2" fontId="3" fillId="0" borderId="36" xfId="0" applyNumberFormat="1" applyFont="1" applyFill="1" applyBorder="1" applyAlignment="1">
      <alignment horizontal="center"/>
    </xf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3" fillId="0" borderId="15" xfId="0" applyFont="1" applyFill="1" applyBorder="1" applyAlignment="1" applyProtection="1">
      <alignment horizontal="center"/>
      <protection locked="0"/>
    </xf>
    <xf numFmtId="0" fontId="3" fillId="0" borderId="3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33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2" fontId="3" fillId="0" borderId="36" xfId="0" applyNumberFormat="1" applyFont="1" applyFill="1" applyBorder="1" applyAlignment="1">
      <alignment horizontal="left"/>
    </xf>
    <xf numFmtId="0" fontId="4" fillId="0" borderId="14" xfId="0" applyFont="1" applyFill="1" applyBorder="1" applyAlignment="1" applyProtection="1">
      <alignment horizontal="center"/>
      <protection locked="0"/>
    </xf>
    <xf numFmtId="0" fontId="4" fillId="0" borderId="13" xfId="0" applyFont="1" applyFill="1" applyBorder="1" applyAlignment="1" applyProtection="1">
      <alignment horizontal="center"/>
      <protection locked="0"/>
    </xf>
    <xf numFmtId="0" fontId="4" fillId="0" borderId="15" xfId="0" applyFont="1" applyFill="1" applyBorder="1" applyAlignment="1" applyProtection="1">
      <alignment horizontal="center"/>
      <protection locked="0"/>
    </xf>
    <xf numFmtId="0" fontId="3" fillId="0" borderId="36" xfId="0" applyFont="1" applyFill="1" applyBorder="1" applyAlignment="1">
      <alignment horizontal="left"/>
    </xf>
    <xf numFmtId="2" fontId="4" fillId="0" borderId="2" xfId="0" applyNumberFormat="1" applyFont="1" applyFill="1" applyBorder="1" applyAlignment="1">
      <alignment horizontal="left"/>
    </xf>
    <xf numFmtId="2" fontId="4" fillId="0" borderId="7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57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0" borderId="33" xfId="0" applyFont="1" applyFill="1" applyBorder="1" applyAlignment="1">
      <alignment vertical="center"/>
    </xf>
    <xf numFmtId="0" fontId="0" fillId="0" borderId="20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0" fillId="0" borderId="32" xfId="0" applyFill="1" applyBorder="1" applyAlignment="1"/>
    <xf numFmtId="0" fontId="0" fillId="0" borderId="19" xfId="0" applyFill="1" applyBorder="1" applyAlignment="1"/>
    <xf numFmtId="0" fontId="0" fillId="0" borderId="33" xfId="0" applyFill="1" applyBorder="1" applyAlignment="1"/>
    <xf numFmtId="0" fontId="0" fillId="0" borderId="20" xfId="0" applyFill="1" applyBorder="1" applyAlignment="1"/>
    <xf numFmtId="0" fontId="4" fillId="0" borderId="32" xfId="0" applyFont="1" applyFill="1" applyBorder="1" applyAlignment="1">
      <alignment horizontal="left"/>
    </xf>
    <xf numFmtId="0" fontId="4" fillId="0" borderId="31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33" xfId="0" applyFont="1" applyFill="1" applyBorder="1" applyAlignment="1">
      <alignment horizontal="left"/>
    </xf>
    <xf numFmtId="0" fontId="4" fillId="0" borderId="30" xfId="0" applyFont="1" applyFill="1" applyBorder="1" applyAlignment="1">
      <alignment horizontal="left"/>
    </xf>
    <xf numFmtId="0" fontId="4" fillId="0" borderId="20" xfId="0" applyFont="1" applyFill="1" applyBorder="1" applyAlignment="1">
      <alignment horizontal="left"/>
    </xf>
    <xf numFmtId="0" fontId="1" fillId="0" borderId="33" xfId="0" applyFont="1" applyFill="1" applyBorder="1" applyAlignment="1">
      <alignment horizontal="left"/>
    </xf>
    <xf numFmtId="0" fontId="1" fillId="0" borderId="30" xfId="0" applyFont="1" applyFill="1" applyBorder="1" applyAlignment="1">
      <alignment horizontal="left"/>
    </xf>
    <xf numFmtId="0" fontId="1" fillId="0" borderId="20" xfId="0" applyFont="1" applyFill="1" applyBorder="1" applyAlignment="1">
      <alignment horizontal="left"/>
    </xf>
    <xf numFmtId="0" fontId="1" fillId="0" borderId="27" xfId="0" applyFont="1" applyFill="1" applyBorder="1" applyAlignment="1">
      <alignment horizontal="left"/>
    </xf>
    <xf numFmtId="0" fontId="1" fillId="0" borderId="36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0" fontId="0" fillId="0" borderId="32" xfId="0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6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 applyProtection="1">
      <alignment horizontal="center"/>
      <protection locked="0"/>
    </xf>
    <xf numFmtId="0" fontId="35" fillId="0" borderId="0" xfId="0" applyFont="1" applyFill="1" applyBorder="1" applyAlignment="1">
      <alignment horizontal="left"/>
    </xf>
    <xf numFmtId="0" fontId="36" fillId="0" borderId="0" xfId="0" applyFont="1" applyFill="1" applyBorder="1" applyAlignment="1">
      <alignment horizontal="left"/>
    </xf>
    <xf numFmtId="0" fontId="0" fillId="0" borderId="31" xfId="0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36" xfId="0" applyFill="1" applyBorder="1" applyAlignment="1">
      <alignment horizontal="center"/>
    </xf>
    <xf numFmtId="165" fontId="4" fillId="0" borderId="32" xfId="0" applyNumberFormat="1" applyFont="1" applyFill="1" applyBorder="1" applyAlignment="1">
      <alignment horizontal="center"/>
    </xf>
    <xf numFmtId="165" fontId="4" fillId="0" borderId="31" xfId="0" applyNumberFormat="1" applyFont="1" applyFill="1" applyBorder="1" applyAlignment="1">
      <alignment horizontal="center"/>
    </xf>
    <xf numFmtId="165" fontId="4" fillId="0" borderId="19" xfId="0" applyNumberFormat="1" applyFont="1" applyFill="1" applyBorder="1" applyAlignment="1">
      <alignment horizontal="center"/>
    </xf>
    <xf numFmtId="165" fontId="46" fillId="0" borderId="32" xfId="0" applyNumberFormat="1" applyFont="1" applyFill="1" applyBorder="1" applyAlignment="1">
      <alignment horizontal="center"/>
    </xf>
    <xf numFmtId="165" fontId="46" fillId="0" borderId="31" xfId="0" applyNumberFormat="1" applyFont="1" applyFill="1" applyBorder="1" applyAlignment="1">
      <alignment horizontal="center"/>
    </xf>
    <xf numFmtId="165" fontId="46" fillId="0" borderId="19" xfId="0" applyNumberFormat="1" applyFont="1" applyFill="1" applyBorder="1" applyAlignment="1">
      <alignment horizontal="center"/>
    </xf>
    <xf numFmtId="2" fontId="4" fillId="0" borderId="33" xfId="0" applyNumberFormat="1" applyFont="1" applyFill="1" applyBorder="1" applyAlignment="1">
      <alignment horizontal="center"/>
    </xf>
    <xf numFmtId="2" fontId="4" fillId="0" borderId="30" xfId="0" applyNumberFormat="1" applyFont="1" applyFill="1" applyBorder="1" applyAlignment="1">
      <alignment horizontal="center"/>
    </xf>
    <xf numFmtId="2" fontId="4" fillId="0" borderId="20" xfId="0" applyNumberFormat="1" applyFont="1" applyFill="1" applyBorder="1" applyAlignment="1">
      <alignment horizontal="center"/>
    </xf>
    <xf numFmtId="2" fontId="46" fillId="0" borderId="33" xfId="0" applyNumberFormat="1" applyFont="1" applyFill="1" applyBorder="1" applyAlignment="1">
      <alignment horizontal="center"/>
    </xf>
    <xf numFmtId="2" fontId="46" fillId="0" borderId="30" xfId="0" applyNumberFormat="1" applyFont="1" applyFill="1" applyBorder="1" applyAlignment="1">
      <alignment horizontal="center"/>
    </xf>
    <xf numFmtId="2" fontId="46" fillId="0" borderId="20" xfId="0" applyNumberFormat="1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0" fillId="0" borderId="31" xfId="0" applyFont="1" applyFill="1" applyBorder="1" applyAlignment="1">
      <alignment vertical="center"/>
    </xf>
    <xf numFmtId="0" fontId="0" fillId="0" borderId="26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167" fontId="4" fillId="0" borderId="27" xfId="0" applyNumberFormat="1" applyFont="1" applyFill="1" applyBorder="1" applyAlignment="1">
      <alignment horizontal="center"/>
    </xf>
    <xf numFmtId="167" fontId="4" fillId="0" borderId="36" xfId="0" applyNumberFormat="1" applyFont="1" applyFill="1" applyBorder="1" applyAlignment="1">
      <alignment horizontal="center"/>
    </xf>
    <xf numFmtId="167" fontId="4" fillId="0" borderId="21" xfId="0" applyNumberFormat="1" applyFont="1" applyFill="1" applyBorder="1" applyAlignment="1">
      <alignment horizontal="center"/>
    </xf>
    <xf numFmtId="167" fontId="4" fillId="0" borderId="0" xfId="0" applyNumberFormat="1" applyFont="1" applyFill="1" applyBorder="1" applyAlignment="1">
      <alignment horizontal="center"/>
    </xf>
    <xf numFmtId="0" fontId="3" fillId="0" borderId="14" xfId="3" applyFont="1" applyFill="1" applyBorder="1" applyAlignment="1" applyProtection="1">
      <alignment horizontal="center"/>
      <protection locked="0"/>
    </xf>
    <xf numFmtId="0" fontId="3" fillId="0" borderId="13" xfId="3" applyFont="1" applyFill="1" applyBorder="1" applyAlignment="1" applyProtection="1">
      <alignment horizontal="center"/>
      <protection locked="0"/>
    </xf>
    <xf numFmtId="0" fontId="3" fillId="0" borderId="15" xfId="3" applyFont="1" applyFill="1" applyBorder="1" applyAlignment="1" applyProtection="1">
      <alignment horizontal="center"/>
      <protection locked="0"/>
    </xf>
    <xf numFmtId="0" fontId="51" fillId="4" borderId="0" xfId="3" applyFont="1" applyFill="1" applyAlignment="1">
      <alignment horizontal="center"/>
    </xf>
    <xf numFmtId="0" fontId="26" fillId="3" borderId="0" xfId="5" applyFont="1" applyFill="1" applyAlignment="1">
      <alignment horizontal="center"/>
    </xf>
    <xf numFmtId="0" fontId="10" fillId="0" borderId="7" xfId="3" applyFont="1" applyFill="1" applyBorder="1" applyAlignment="1">
      <alignment horizontal="center"/>
    </xf>
    <xf numFmtId="14" fontId="5" fillId="0" borderId="7" xfId="5" applyNumberFormat="1" applyFont="1" applyFill="1" applyBorder="1" applyAlignment="1" applyProtection="1">
      <alignment horizontal="center"/>
      <protection locked="0"/>
    </xf>
    <xf numFmtId="2" fontId="2" fillId="0" borderId="2" xfId="3" applyNumberFormat="1" applyFill="1" applyBorder="1" applyAlignment="1">
      <alignment horizontal="left"/>
    </xf>
    <xf numFmtId="2" fontId="47" fillId="0" borderId="0" xfId="3" applyNumberFormat="1" applyFont="1" applyFill="1" applyBorder="1" applyAlignment="1">
      <alignment horizontal="center"/>
    </xf>
    <xf numFmtId="0" fontId="37" fillId="0" borderId="14" xfId="7" applyFont="1" applyFill="1" applyBorder="1" applyAlignment="1" applyProtection="1">
      <alignment horizontal="center"/>
      <protection locked="0"/>
    </xf>
    <xf numFmtId="0" fontId="37" fillId="0" borderId="13" xfId="7" applyFont="1" applyFill="1" applyBorder="1" applyAlignment="1" applyProtection="1">
      <alignment horizontal="center"/>
      <protection locked="0"/>
    </xf>
    <xf numFmtId="0" fontId="37" fillId="0" borderId="15" xfId="7" applyFont="1" applyFill="1" applyBorder="1" applyAlignment="1" applyProtection="1">
      <alignment horizontal="center"/>
      <protection locked="0"/>
    </xf>
    <xf numFmtId="0" fontId="51" fillId="0" borderId="0" xfId="3" applyFont="1" applyFill="1" applyAlignment="1">
      <alignment horizontal="center"/>
    </xf>
    <xf numFmtId="0" fontId="54" fillId="0" borderId="7" xfId="7" applyFont="1" applyFill="1" applyBorder="1" applyAlignment="1">
      <alignment horizontal="center"/>
    </xf>
    <xf numFmtId="14" fontId="1" fillId="0" borderId="7" xfId="5" applyNumberFormat="1" applyFont="1" applyFill="1" applyBorder="1" applyAlignment="1" applyProtection="1">
      <alignment horizontal="center"/>
      <protection locked="0"/>
    </xf>
    <xf numFmtId="2" fontId="2" fillId="0" borderId="2" xfId="7" applyNumberFormat="1" applyFont="1" applyFill="1" applyBorder="1" applyAlignment="1">
      <alignment horizontal="left"/>
    </xf>
    <xf numFmtId="2" fontId="47" fillId="0" borderId="0" xfId="7" applyNumberFormat="1" applyFont="1" applyFill="1" applyBorder="1" applyAlignment="1">
      <alignment horizontal="center"/>
    </xf>
    <xf numFmtId="2" fontId="47" fillId="0" borderId="7" xfId="7" applyNumberFormat="1" applyFont="1" applyFill="1" applyBorder="1" applyAlignment="1">
      <alignment horizontal="center"/>
    </xf>
    <xf numFmtId="2" fontId="47" fillId="0" borderId="7" xfId="3" applyNumberFormat="1" applyFont="1" applyFill="1" applyBorder="1" applyAlignment="1">
      <alignment horizontal="center"/>
    </xf>
    <xf numFmtId="0" fontId="2" fillId="3" borderId="0" xfId="3" applyFill="1" applyAlignment="1">
      <alignment horizontal="center"/>
    </xf>
    <xf numFmtId="0" fontId="2" fillId="0" borderId="32" xfId="3" applyFill="1" applyBorder="1" applyAlignment="1">
      <alignment horizontal="center"/>
    </xf>
    <xf numFmtId="0" fontId="2" fillId="0" borderId="19" xfId="3" applyFill="1" applyBorder="1" applyAlignment="1">
      <alignment horizontal="center"/>
    </xf>
    <xf numFmtId="0" fontId="2" fillId="0" borderId="6" xfId="3" applyFill="1" applyBorder="1" applyAlignment="1">
      <alignment horizontal="center"/>
    </xf>
    <xf numFmtId="0" fontId="2" fillId="0" borderId="8" xfId="3" applyFill="1" applyBorder="1" applyAlignment="1">
      <alignment horizontal="center"/>
    </xf>
    <xf numFmtId="0" fontId="19" fillId="2" borderId="1" xfId="7" applyFont="1" applyFill="1" applyBorder="1" applyAlignment="1">
      <alignment horizontal="left"/>
    </xf>
    <xf numFmtId="0" fontId="19" fillId="2" borderId="2" xfId="7" applyFont="1" applyFill="1" applyBorder="1" applyAlignment="1">
      <alignment horizontal="left"/>
    </xf>
    <xf numFmtId="0" fontId="19" fillId="2" borderId="3" xfId="7" applyFont="1" applyFill="1" applyBorder="1" applyAlignment="1">
      <alignment horizontal="left"/>
    </xf>
    <xf numFmtId="167" fontId="17" fillId="2" borderId="1" xfId="7" applyNumberFormat="1" applyFont="1" applyFill="1" applyBorder="1" applyAlignment="1">
      <alignment horizontal="center"/>
    </xf>
    <xf numFmtId="167" fontId="17" fillId="2" borderId="2" xfId="7" applyNumberFormat="1" applyFont="1" applyFill="1" applyBorder="1" applyAlignment="1">
      <alignment horizontal="center"/>
    </xf>
    <xf numFmtId="167" fontId="17" fillId="2" borderId="3" xfId="7" applyNumberFormat="1" applyFont="1" applyFill="1" applyBorder="1" applyAlignment="1">
      <alignment horizontal="center"/>
    </xf>
    <xf numFmtId="167" fontId="17" fillId="2" borderId="6" xfId="7" applyNumberFormat="1" applyFont="1" applyFill="1" applyBorder="1" applyAlignment="1">
      <alignment horizontal="center"/>
    </xf>
    <xf numFmtId="167" fontId="17" fillId="2" borderId="7" xfId="7" applyNumberFormat="1" applyFont="1" applyFill="1" applyBorder="1" applyAlignment="1">
      <alignment horizontal="center"/>
    </xf>
    <xf numFmtId="167" fontId="17" fillId="2" borderId="8" xfId="7" applyNumberFormat="1" applyFont="1" applyFill="1" applyBorder="1" applyAlignment="1">
      <alignment horizontal="center"/>
    </xf>
    <xf numFmtId="0" fontId="17" fillId="2" borderId="6" xfId="7" applyFont="1" applyFill="1" applyBorder="1" applyAlignment="1">
      <alignment horizontal="right"/>
    </xf>
    <xf numFmtId="0" fontId="17" fillId="2" borderId="7" xfId="7" applyFont="1" applyFill="1" applyBorder="1" applyAlignment="1">
      <alignment horizontal="right"/>
    </xf>
    <xf numFmtId="0" fontId="17" fillId="2" borderId="26" xfId="7" applyFont="1" applyFill="1" applyBorder="1" applyAlignment="1">
      <alignment horizontal="center" vertical="center"/>
    </xf>
    <xf numFmtId="0" fontId="17" fillId="2" borderId="9" xfId="7" applyFont="1" applyFill="1" applyBorder="1" applyAlignment="1">
      <alignment horizontal="center" vertical="center"/>
    </xf>
    <xf numFmtId="0" fontId="17" fillId="2" borderId="10" xfId="7" applyFont="1" applyFill="1" applyBorder="1" applyAlignment="1">
      <alignment horizontal="center" vertical="center"/>
    </xf>
    <xf numFmtId="0" fontId="17" fillId="2" borderId="69" xfId="7" applyFont="1" applyFill="1" applyBorder="1" applyAlignment="1">
      <alignment horizontal="right"/>
    </xf>
    <xf numFmtId="0" fontId="17" fillId="2" borderId="14" xfId="7" applyFont="1" applyFill="1" applyBorder="1" applyAlignment="1" applyProtection="1">
      <alignment horizontal="center"/>
      <protection locked="0"/>
    </xf>
    <xf numFmtId="0" fontId="17" fillId="2" borderId="13" xfId="7" applyFont="1" applyFill="1" applyBorder="1" applyAlignment="1" applyProtection="1">
      <alignment horizontal="center"/>
      <protection locked="0"/>
    </xf>
    <xf numFmtId="0" fontId="17" fillId="2" borderId="15" xfId="7" applyFont="1" applyFill="1" applyBorder="1" applyAlignment="1" applyProtection="1">
      <alignment horizontal="center"/>
      <protection locked="0"/>
    </xf>
    <xf numFmtId="0" fontId="17" fillId="2" borderId="1" xfId="7" applyFont="1" applyFill="1" applyBorder="1" applyAlignment="1">
      <alignment horizontal="center"/>
    </xf>
    <xf numFmtId="0" fontId="17" fillId="2" borderId="2" xfId="7" applyFont="1" applyFill="1" applyBorder="1" applyAlignment="1">
      <alignment horizontal="center"/>
    </xf>
    <xf numFmtId="0" fontId="17" fillId="2" borderId="3" xfId="7" applyFont="1" applyFill="1" applyBorder="1" applyAlignment="1">
      <alignment horizontal="center"/>
    </xf>
    <xf numFmtId="0" fontId="17" fillId="2" borderId="6" xfId="7" applyFont="1" applyFill="1" applyBorder="1" applyAlignment="1">
      <alignment horizontal="center"/>
    </xf>
    <xf numFmtId="0" fontId="17" fillId="2" borderId="7" xfId="7" applyFont="1" applyFill="1" applyBorder="1" applyAlignment="1">
      <alignment horizontal="center"/>
    </xf>
    <xf numFmtId="0" fontId="17" fillId="2" borderId="8" xfId="7" applyFont="1" applyFill="1" applyBorder="1" applyAlignment="1">
      <alignment horizontal="center"/>
    </xf>
    <xf numFmtId="0" fontId="19" fillId="2" borderId="6" xfId="7" applyFont="1" applyFill="1" applyBorder="1" applyAlignment="1">
      <alignment horizontal="left"/>
    </xf>
    <xf numFmtId="0" fontId="19" fillId="2" borderId="7" xfId="7" applyFont="1" applyFill="1" applyBorder="1" applyAlignment="1">
      <alignment horizontal="left"/>
    </xf>
    <xf numFmtId="0" fontId="17" fillId="2" borderId="23" xfId="7" applyFont="1" applyFill="1" applyBorder="1" applyAlignment="1">
      <alignment horizontal="left"/>
    </xf>
    <xf numFmtId="0" fontId="17" fillId="2" borderId="24" xfId="7" applyFont="1" applyFill="1" applyBorder="1" applyAlignment="1">
      <alignment horizontal="left"/>
    </xf>
    <xf numFmtId="0" fontId="17" fillId="2" borderId="57" xfId="7" applyFont="1" applyFill="1" applyBorder="1" applyAlignment="1">
      <alignment horizontal="left"/>
    </xf>
    <xf numFmtId="0" fontId="17" fillId="2" borderId="22" xfId="7" applyFont="1" applyFill="1" applyBorder="1" applyAlignment="1">
      <alignment horizontal="left"/>
    </xf>
    <xf numFmtId="0" fontId="17" fillId="2" borderId="51" xfId="7" applyFont="1" applyFill="1" applyBorder="1" applyAlignment="1">
      <alignment horizontal="left"/>
    </xf>
    <xf numFmtId="0" fontId="17" fillId="2" borderId="64" xfId="7" applyFont="1" applyFill="1" applyBorder="1" applyAlignment="1">
      <alignment horizontal="left"/>
    </xf>
    <xf numFmtId="0" fontId="17" fillId="2" borderId="6" xfId="7" applyFont="1" applyFill="1" applyBorder="1" applyAlignment="1">
      <alignment horizontal="left"/>
    </xf>
    <xf numFmtId="0" fontId="17" fillId="2" borderId="7" xfId="7" applyFont="1" applyFill="1" applyBorder="1" applyAlignment="1">
      <alignment horizontal="left"/>
    </xf>
    <xf numFmtId="0" fontId="19" fillId="2" borderId="6" xfId="7" applyFont="1" applyFill="1" applyBorder="1" applyAlignment="1">
      <alignment horizontal="left" vertical="center"/>
    </xf>
    <xf numFmtId="0" fontId="19" fillId="2" borderId="7" xfId="7" applyFont="1" applyFill="1" applyBorder="1" applyAlignment="1">
      <alignment horizontal="left" vertical="center"/>
    </xf>
    <xf numFmtId="2" fontId="17" fillId="2" borderId="23" xfId="7" applyNumberFormat="1" applyFont="1" applyFill="1" applyBorder="1" applyAlignment="1">
      <alignment horizontal="center"/>
    </xf>
    <xf numFmtId="2" fontId="17" fillId="2" borderId="24" xfId="7" applyNumberFormat="1" applyFont="1" applyFill="1" applyBorder="1" applyAlignment="1">
      <alignment horizontal="center"/>
    </xf>
    <xf numFmtId="2" fontId="17" fillId="2" borderId="25" xfId="7" applyNumberFormat="1" applyFont="1" applyFill="1" applyBorder="1" applyAlignment="1">
      <alignment horizontal="center"/>
    </xf>
    <xf numFmtId="2" fontId="17" fillId="2" borderId="2" xfId="7" applyNumberFormat="1" applyFont="1" applyFill="1" applyBorder="1" applyAlignment="1">
      <alignment horizontal="center"/>
    </xf>
    <xf numFmtId="2" fontId="17" fillId="2" borderId="0" xfId="7" applyNumberFormat="1" applyFont="1" applyFill="1" applyBorder="1" applyAlignment="1">
      <alignment horizontal="center"/>
    </xf>
    <xf numFmtId="2" fontId="17" fillId="2" borderId="7" xfId="7" applyNumberFormat="1" applyFont="1" applyFill="1" applyBorder="1" applyAlignment="1">
      <alignment horizontal="center"/>
    </xf>
    <xf numFmtId="0" fontId="19" fillId="2" borderId="1" xfId="7" applyFont="1" applyFill="1" applyBorder="1" applyAlignment="1">
      <alignment horizontal="left" vertical="center"/>
    </xf>
    <xf numFmtId="0" fontId="19" fillId="2" borderId="2" xfId="7" applyFont="1" applyFill="1" applyBorder="1" applyAlignment="1">
      <alignment horizontal="left" vertical="center"/>
    </xf>
    <xf numFmtId="2" fontId="17" fillId="2" borderId="23" xfId="7" applyNumberFormat="1" applyFont="1" applyFill="1" applyBorder="1" applyAlignment="1">
      <alignment horizontal="center" vertical="center"/>
    </xf>
    <xf numFmtId="2" fontId="17" fillId="2" borderId="24" xfId="7" applyNumberFormat="1" applyFont="1" applyFill="1" applyBorder="1" applyAlignment="1">
      <alignment horizontal="center" vertical="center"/>
    </xf>
    <xf numFmtId="2" fontId="17" fillId="2" borderId="25" xfId="7" applyNumberFormat="1" applyFont="1" applyFill="1" applyBorder="1" applyAlignment="1">
      <alignment horizontal="center" vertical="center"/>
    </xf>
    <xf numFmtId="0" fontId="17" fillId="2" borderId="14" xfId="8" applyNumberFormat="1" applyFont="1" applyFill="1" applyBorder="1" applyAlignment="1" applyProtection="1">
      <alignment horizontal="center"/>
      <protection locked="0"/>
    </xf>
    <xf numFmtId="0" fontId="17" fillId="2" borderId="13" xfId="8" applyNumberFormat="1" applyFont="1" applyFill="1" applyBorder="1" applyAlignment="1" applyProtection="1">
      <alignment horizontal="center"/>
      <protection locked="0"/>
    </xf>
    <xf numFmtId="0" fontId="17" fillId="2" borderId="15" xfId="8" applyNumberFormat="1" applyFont="1" applyFill="1" applyBorder="1" applyAlignment="1" applyProtection="1">
      <alignment horizontal="center"/>
      <protection locked="0"/>
    </xf>
    <xf numFmtId="0" fontId="17" fillId="2" borderId="2" xfId="7" applyFont="1" applyFill="1" applyBorder="1" applyAlignment="1">
      <alignment horizontal="center" vertical="center"/>
    </xf>
    <xf numFmtId="0" fontId="17" fillId="2" borderId="4" xfId="7" applyFont="1" applyFill="1" applyBorder="1" applyAlignment="1">
      <alignment horizontal="center" vertical="center"/>
    </xf>
    <xf numFmtId="0" fontId="17" fillId="2" borderId="0" xfId="7" applyFont="1" applyFill="1" applyBorder="1" applyAlignment="1">
      <alignment horizontal="center" vertical="center"/>
    </xf>
    <xf numFmtId="0" fontId="17" fillId="2" borderId="5" xfId="7" applyFont="1" applyFill="1" applyBorder="1" applyAlignment="1">
      <alignment horizontal="center" vertical="center"/>
    </xf>
    <xf numFmtId="0" fontId="17" fillId="2" borderId="7" xfId="7" applyFont="1" applyFill="1" applyBorder="1" applyAlignment="1">
      <alignment horizontal="center" vertical="center"/>
    </xf>
    <xf numFmtId="0" fontId="17" fillId="2" borderId="4" xfId="7" applyFont="1" applyFill="1" applyBorder="1" applyAlignment="1">
      <alignment horizontal="center"/>
    </xf>
    <xf numFmtId="0" fontId="17" fillId="2" borderId="5" xfId="7" applyFont="1" applyFill="1" applyBorder="1" applyAlignment="1">
      <alignment horizontal="center"/>
    </xf>
    <xf numFmtId="0" fontId="17" fillId="2" borderId="33" xfId="7" applyFont="1" applyFill="1" applyBorder="1" applyAlignment="1">
      <alignment horizontal="left"/>
    </xf>
    <xf numFmtId="0" fontId="17" fillId="2" borderId="20" xfId="7" applyFont="1" applyFill="1" applyBorder="1" applyAlignment="1">
      <alignment horizontal="left"/>
    </xf>
    <xf numFmtId="165" fontId="17" fillId="2" borderId="27" xfId="7" applyNumberFormat="1" applyFont="1" applyFill="1" applyBorder="1" applyAlignment="1">
      <alignment horizontal="center"/>
    </xf>
    <xf numFmtId="165" fontId="17" fillId="2" borderId="36" xfId="7" applyNumberFormat="1" applyFont="1" applyFill="1" applyBorder="1" applyAlignment="1">
      <alignment horizontal="center"/>
    </xf>
    <xf numFmtId="165" fontId="17" fillId="2" borderId="21" xfId="7" applyNumberFormat="1" applyFont="1" applyFill="1" applyBorder="1" applyAlignment="1">
      <alignment horizontal="center"/>
    </xf>
    <xf numFmtId="0" fontId="17" fillId="2" borderId="14" xfId="7" applyFont="1" applyFill="1" applyBorder="1" applyAlignment="1">
      <alignment horizontal="left"/>
    </xf>
    <xf numFmtId="0" fontId="17" fillId="2" borderId="13" xfId="7" applyFont="1" applyFill="1" applyBorder="1" applyAlignment="1">
      <alignment horizontal="left"/>
    </xf>
    <xf numFmtId="0" fontId="17" fillId="2" borderId="15" xfId="7" applyFont="1" applyFill="1" applyBorder="1" applyAlignment="1">
      <alignment horizontal="left"/>
    </xf>
    <xf numFmtId="165" fontId="17" fillId="2" borderId="33" xfId="7" applyNumberFormat="1" applyFont="1" applyFill="1" applyBorder="1" applyAlignment="1">
      <alignment horizontal="center"/>
    </xf>
    <xf numFmtId="165" fontId="17" fillId="2" borderId="30" xfId="7" applyNumberFormat="1" applyFont="1" applyFill="1" applyBorder="1" applyAlignment="1">
      <alignment horizontal="center"/>
    </xf>
    <xf numFmtId="165" fontId="17" fillId="2" borderId="20" xfId="7" applyNumberFormat="1" applyFont="1" applyFill="1" applyBorder="1" applyAlignment="1">
      <alignment horizontal="center"/>
    </xf>
    <xf numFmtId="165" fontId="17" fillId="2" borderId="32" xfId="7" applyNumberFormat="1" applyFont="1" applyFill="1" applyBorder="1" applyAlignment="1">
      <alignment horizontal="center" vertical="center"/>
    </xf>
    <xf numFmtId="165" fontId="17" fillId="2" borderId="31" xfId="7" applyNumberFormat="1" applyFont="1" applyFill="1" applyBorder="1" applyAlignment="1">
      <alignment horizontal="center" vertical="center"/>
    </xf>
    <xf numFmtId="165" fontId="17" fillId="2" borderId="19" xfId="7" applyNumberFormat="1" applyFont="1" applyFill="1" applyBorder="1" applyAlignment="1">
      <alignment horizontal="center" vertical="center"/>
    </xf>
    <xf numFmtId="1" fontId="17" fillId="2" borderId="14" xfId="7" applyNumberFormat="1" applyFont="1" applyFill="1" applyBorder="1" applyAlignment="1">
      <alignment horizontal="center" vertical="center"/>
    </xf>
    <xf numFmtId="1" fontId="17" fillId="2" borderId="13" xfId="7" applyNumberFormat="1" applyFont="1" applyFill="1" applyBorder="1" applyAlignment="1">
      <alignment horizontal="center" vertical="center"/>
    </xf>
    <xf numFmtId="1" fontId="17" fillId="2" borderId="15" xfId="7" applyNumberFormat="1" applyFont="1" applyFill="1" applyBorder="1" applyAlignment="1">
      <alignment horizontal="center" vertical="center"/>
    </xf>
    <xf numFmtId="0" fontId="17" fillId="2" borderId="4" xfId="8" applyNumberFormat="1" applyFont="1" applyFill="1" applyBorder="1" applyAlignment="1" applyProtection="1">
      <alignment horizontal="center"/>
      <protection locked="0"/>
    </xf>
    <xf numFmtId="0" fontId="17" fillId="2" borderId="0" xfId="8" applyNumberFormat="1" applyFont="1" applyFill="1" applyBorder="1" applyAlignment="1" applyProtection="1">
      <alignment horizontal="center"/>
      <protection locked="0"/>
    </xf>
    <xf numFmtId="0" fontId="17" fillId="2" borderId="5" xfId="8" applyNumberFormat="1" applyFont="1" applyFill="1" applyBorder="1" applyAlignment="1" applyProtection="1">
      <alignment horizontal="center"/>
      <protection locked="0"/>
    </xf>
    <xf numFmtId="0" fontId="17" fillId="2" borderId="1" xfId="7" applyFont="1" applyFill="1" applyBorder="1" applyAlignment="1">
      <alignment horizontal="center" vertical="center" wrapText="1"/>
    </xf>
    <xf numFmtId="0" fontId="17" fillId="2" borderId="4" xfId="7" applyFont="1" applyFill="1" applyBorder="1" applyAlignment="1">
      <alignment horizontal="center" vertical="center" wrapText="1"/>
    </xf>
    <xf numFmtId="0" fontId="17" fillId="2" borderId="1" xfId="5" applyFont="1" applyFill="1" applyBorder="1" applyAlignment="1">
      <alignment horizontal="center" vertical="center"/>
    </xf>
    <xf numFmtId="0" fontId="17" fillId="2" borderId="3" xfId="5" applyFont="1" applyFill="1" applyBorder="1" applyAlignment="1">
      <alignment horizontal="center" vertical="center"/>
    </xf>
    <xf numFmtId="0" fontId="17" fillId="2" borderId="4" xfId="5" applyFont="1" applyFill="1" applyBorder="1" applyAlignment="1">
      <alignment horizontal="center" vertical="center"/>
    </xf>
    <xf numFmtId="0" fontId="17" fillId="2" borderId="5" xfId="5" applyFont="1" applyFill="1" applyBorder="1" applyAlignment="1">
      <alignment horizontal="center" vertical="center"/>
    </xf>
    <xf numFmtId="0" fontId="17" fillId="2" borderId="6" xfId="5" applyFont="1" applyFill="1" applyBorder="1" applyAlignment="1">
      <alignment horizontal="center" vertical="center"/>
    </xf>
    <xf numFmtId="0" fontId="17" fillId="2" borderId="8" xfId="5" applyFont="1" applyFill="1" applyBorder="1" applyAlignment="1">
      <alignment horizontal="center" vertical="center"/>
    </xf>
    <xf numFmtId="0" fontId="17" fillId="2" borderId="8" xfId="7" applyFont="1" applyFill="1" applyBorder="1" applyAlignment="1">
      <alignment horizontal="left"/>
    </xf>
    <xf numFmtId="0" fontId="17" fillId="2" borderId="2" xfId="7" applyFont="1" applyFill="1" applyBorder="1" applyAlignment="1">
      <alignment horizontal="left"/>
    </xf>
    <xf numFmtId="0" fontId="17" fillId="2" borderId="3" xfId="7" applyFont="1" applyFill="1" applyBorder="1" applyAlignment="1">
      <alignment horizontal="left"/>
    </xf>
    <xf numFmtId="1" fontId="19" fillId="2" borderId="14" xfId="6" applyNumberFormat="1" applyFont="1" applyFill="1" applyBorder="1" applyAlignment="1">
      <alignment horizontal="center" vertical="center"/>
    </xf>
    <xf numFmtId="1" fontId="19" fillId="2" borderId="13" xfId="6" applyNumberFormat="1" applyFont="1" applyFill="1" applyBorder="1" applyAlignment="1">
      <alignment horizontal="center" vertical="center"/>
    </xf>
    <xf numFmtId="1" fontId="19" fillId="2" borderId="15" xfId="6" applyNumberFormat="1" applyFont="1" applyFill="1" applyBorder="1" applyAlignment="1">
      <alignment horizontal="center" vertical="center"/>
    </xf>
    <xf numFmtId="0" fontId="19" fillId="2" borderId="1" xfId="5" applyFont="1" applyFill="1" applyBorder="1" applyAlignment="1">
      <alignment horizontal="center" vertical="center" wrapText="1"/>
    </xf>
    <xf numFmtId="0" fontId="19" fillId="2" borderId="3" xfId="5" applyFont="1" applyFill="1" applyBorder="1" applyAlignment="1">
      <alignment horizontal="center" vertical="center"/>
    </xf>
    <xf numFmtId="0" fontId="19" fillId="2" borderId="6" xfId="5" applyFont="1" applyFill="1" applyBorder="1" applyAlignment="1">
      <alignment horizontal="center" vertical="center"/>
    </xf>
    <xf numFmtId="0" fontId="19" fillId="2" borderId="8" xfId="5" applyFont="1" applyFill="1" applyBorder="1" applyAlignment="1">
      <alignment horizontal="center" vertical="center"/>
    </xf>
    <xf numFmtId="0" fontId="19" fillId="2" borderId="26" xfId="5" applyFont="1" applyFill="1" applyBorder="1" applyAlignment="1">
      <alignment horizontal="center" vertical="center" wrapText="1"/>
    </xf>
    <xf numFmtId="0" fontId="19" fillId="2" borderId="10" xfId="5" applyFont="1" applyFill="1" applyBorder="1" applyAlignment="1">
      <alignment horizontal="center" vertical="center"/>
    </xf>
    <xf numFmtId="0" fontId="17" fillId="2" borderId="1" xfId="5" applyFont="1" applyFill="1" applyBorder="1" applyAlignment="1">
      <alignment horizontal="center"/>
    </xf>
    <xf numFmtId="0" fontId="17" fillId="2" borderId="2" xfId="5" applyFont="1" applyFill="1" applyBorder="1" applyAlignment="1">
      <alignment horizontal="center"/>
    </xf>
    <xf numFmtId="0" fontId="17" fillId="2" borderId="3" xfId="5" applyFont="1" applyFill="1" applyBorder="1" applyAlignment="1">
      <alignment horizontal="center"/>
    </xf>
    <xf numFmtId="0" fontId="17" fillId="2" borderId="6" xfId="5" applyFont="1" applyFill="1" applyBorder="1" applyAlignment="1">
      <alignment horizontal="center"/>
    </xf>
    <xf numFmtId="0" fontId="17" fillId="2" borderId="7" xfId="5" applyFont="1" applyFill="1" applyBorder="1" applyAlignment="1">
      <alignment horizontal="center"/>
    </xf>
    <xf numFmtId="0" fontId="17" fillId="2" borderId="8" xfId="5" applyFont="1" applyFill="1" applyBorder="1" applyAlignment="1">
      <alignment horizontal="center"/>
    </xf>
    <xf numFmtId="0" fontId="19" fillId="2" borderId="3" xfId="7" applyFont="1" applyFill="1" applyBorder="1" applyAlignment="1">
      <alignment horizontal="left" vertical="center"/>
    </xf>
    <xf numFmtId="0" fontId="19" fillId="2" borderId="14" xfId="5" applyFont="1" applyFill="1" applyBorder="1" applyAlignment="1">
      <alignment horizontal="center" vertical="center"/>
    </xf>
    <xf numFmtId="0" fontId="19" fillId="2" borderId="13" xfId="5" applyFont="1" applyFill="1" applyBorder="1" applyAlignment="1">
      <alignment horizontal="center" vertical="center"/>
    </xf>
    <xf numFmtId="0" fontId="19" fillId="2" borderId="15" xfId="5" applyFont="1" applyFill="1" applyBorder="1" applyAlignment="1">
      <alignment horizontal="center" vertical="center"/>
    </xf>
    <xf numFmtId="0" fontId="17" fillId="2" borderId="14" xfId="7" applyFont="1" applyFill="1" applyBorder="1" applyAlignment="1" applyProtection="1">
      <alignment horizontal="center" vertical="center"/>
      <protection locked="0"/>
    </xf>
    <xf numFmtId="0" fontId="17" fillId="2" borderId="13" xfId="7" applyFont="1" applyFill="1" applyBorder="1" applyAlignment="1" applyProtection="1">
      <alignment horizontal="center" vertical="center"/>
      <protection locked="0"/>
    </xf>
    <xf numFmtId="0" fontId="17" fillId="2" borderId="15" xfId="7" applyFont="1" applyFill="1" applyBorder="1" applyAlignment="1" applyProtection="1">
      <alignment horizontal="center" vertical="center"/>
      <protection locked="0"/>
    </xf>
    <xf numFmtId="0" fontId="17" fillId="2" borderId="22" xfId="7" applyFont="1" applyFill="1" applyBorder="1" applyAlignment="1">
      <alignment horizontal="left" vertical="center"/>
    </xf>
    <xf numFmtId="0" fontId="17" fillId="2" borderId="51" xfId="7" applyFont="1" applyFill="1" applyBorder="1" applyAlignment="1">
      <alignment horizontal="left" vertical="center"/>
    </xf>
    <xf numFmtId="0" fontId="17" fillId="2" borderId="64" xfId="7" applyFont="1" applyFill="1" applyBorder="1" applyAlignment="1">
      <alignment horizontal="left" vertical="center"/>
    </xf>
    <xf numFmtId="0" fontId="17" fillId="2" borderId="23" xfId="7" applyFont="1" applyFill="1" applyBorder="1" applyAlignment="1">
      <alignment horizontal="left" vertical="center"/>
    </xf>
    <xf numFmtId="0" fontId="17" fillId="2" borderId="24" xfId="7" applyFont="1" applyFill="1" applyBorder="1" applyAlignment="1">
      <alignment horizontal="left" vertical="center"/>
    </xf>
    <xf numFmtId="0" fontId="17" fillId="2" borderId="57" xfId="7" applyFont="1" applyFill="1" applyBorder="1" applyAlignment="1">
      <alignment horizontal="left" vertical="center"/>
    </xf>
    <xf numFmtId="0" fontId="17" fillId="2" borderId="14" xfId="7" applyFont="1" applyFill="1" applyBorder="1" applyAlignment="1">
      <alignment horizontal="left" vertical="center"/>
    </xf>
    <xf numFmtId="0" fontId="17" fillId="2" borderId="13" xfId="7" applyFont="1" applyFill="1" applyBorder="1" applyAlignment="1">
      <alignment horizontal="left" vertical="center"/>
    </xf>
    <xf numFmtId="0" fontId="17" fillId="2" borderId="7" xfId="7" applyFont="1" applyFill="1" applyBorder="1" applyAlignment="1">
      <alignment horizontal="left" vertical="center"/>
    </xf>
    <xf numFmtId="0" fontId="17" fillId="2" borderId="8" xfId="7" applyFont="1" applyFill="1" applyBorder="1" applyAlignment="1">
      <alignment horizontal="left" vertical="center"/>
    </xf>
    <xf numFmtId="0" fontId="59" fillId="2" borderId="0" xfId="7" applyFont="1" applyFill="1" applyBorder="1" applyAlignment="1">
      <alignment horizontal="center" vertical="center"/>
    </xf>
    <xf numFmtId="14" fontId="59" fillId="2" borderId="11" xfId="5" applyNumberFormat="1" applyFont="1" applyFill="1" applyBorder="1" applyAlignment="1" applyProtection="1">
      <alignment horizontal="center"/>
      <protection locked="0"/>
    </xf>
  </cellXfs>
  <cellStyles count="14">
    <cellStyle name="Обычный" xfId="0" builtinId="0"/>
    <cellStyle name="Обычный 2 2" xfId="1"/>
    <cellStyle name="Обычный 2 2 2" xfId="12"/>
    <cellStyle name="Обычный 2 5" xfId="2"/>
    <cellStyle name="Обычный 3" xfId="13"/>
    <cellStyle name="Обычный 5" xfId="11"/>
    <cellStyle name="Обычный_2-4.КЗ по ПС ХМРЭС" xfId="3"/>
    <cellStyle name="Обычный_Замеры по ПС Правдинского РЭС" xfId="4"/>
    <cellStyle name="Обычный_КЗ по потребительским ПС" xfId="5"/>
    <cellStyle name="Обычный_КЗ по ПС ХМРЭС" xfId="6"/>
    <cellStyle name="Обычный_отчёт  ЗМБ" xfId="7"/>
    <cellStyle name="Обычный_ПрБЭО замеры" xfId="8"/>
    <cellStyle name="Обычный_Проба Водозабор" xfId="9"/>
    <cellStyle name="Финансовый" xfId="10" builtinId="3"/>
  </cellStyles>
  <dxfs count="5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54</xdr:row>
      <xdr:rowOff>76200</xdr:rowOff>
    </xdr:from>
    <xdr:to>
      <xdr:col>3</xdr:col>
      <xdr:colOff>85725</xdr:colOff>
      <xdr:row>54</xdr:row>
      <xdr:rowOff>123825</xdr:rowOff>
    </xdr:to>
    <xdr:sp macro="" textlink="">
      <xdr:nvSpPr>
        <xdr:cNvPr id="3435" name="Объект 5"/>
        <xdr:cNvSpPr>
          <a:spLocks/>
        </xdr:cNvSpPr>
      </xdr:nvSpPr>
      <xdr:spPr bwMode="auto">
        <a:xfrm>
          <a:off x="1038225" y="78962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54</xdr:row>
      <xdr:rowOff>76200</xdr:rowOff>
    </xdr:from>
    <xdr:to>
      <xdr:col>4</xdr:col>
      <xdr:colOff>123825</xdr:colOff>
      <xdr:row>54</xdr:row>
      <xdr:rowOff>123825</xdr:rowOff>
    </xdr:to>
    <xdr:sp macro="" textlink="">
      <xdr:nvSpPr>
        <xdr:cNvPr id="3436" name="Объект 7"/>
        <xdr:cNvSpPr>
          <a:spLocks/>
        </xdr:cNvSpPr>
      </xdr:nvSpPr>
      <xdr:spPr bwMode="auto">
        <a:xfrm>
          <a:off x="1476375" y="78962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55</xdr:row>
      <xdr:rowOff>76200</xdr:rowOff>
    </xdr:from>
    <xdr:to>
      <xdr:col>3</xdr:col>
      <xdr:colOff>104775</xdr:colOff>
      <xdr:row>55</xdr:row>
      <xdr:rowOff>123825</xdr:rowOff>
    </xdr:to>
    <xdr:sp macro="" textlink="">
      <xdr:nvSpPr>
        <xdr:cNvPr id="3437" name="Объект 8"/>
        <xdr:cNvSpPr>
          <a:spLocks/>
        </xdr:cNvSpPr>
      </xdr:nvSpPr>
      <xdr:spPr bwMode="auto">
        <a:xfrm>
          <a:off x="1057275" y="80867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55</xdr:row>
      <xdr:rowOff>66675</xdr:rowOff>
    </xdr:from>
    <xdr:to>
      <xdr:col>4</xdr:col>
      <xdr:colOff>152400</xdr:colOff>
      <xdr:row>55</xdr:row>
      <xdr:rowOff>114300</xdr:rowOff>
    </xdr:to>
    <xdr:sp macro="" textlink="">
      <xdr:nvSpPr>
        <xdr:cNvPr id="3438" name="Объект 8"/>
        <xdr:cNvSpPr>
          <a:spLocks/>
        </xdr:cNvSpPr>
      </xdr:nvSpPr>
      <xdr:spPr bwMode="auto">
        <a:xfrm>
          <a:off x="1504950" y="80772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59</xdr:row>
      <xdr:rowOff>76200</xdr:rowOff>
    </xdr:from>
    <xdr:to>
      <xdr:col>3</xdr:col>
      <xdr:colOff>85725</xdr:colOff>
      <xdr:row>59</xdr:row>
      <xdr:rowOff>123825</xdr:rowOff>
    </xdr:to>
    <xdr:sp macro="" textlink="">
      <xdr:nvSpPr>
        <xdr:cNvPr id="3439" name="Объект 5"/>
        <xdr:cNvSpPr>
          <a:spLocks/>
        </xdr:cNvSpPr>
      </xdr:nvSpPr>
      <xdr:spPr bwMode="auto">
        <a:xfrm>
          <a:off x="1038225" y="84772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59</xdr:row>
      <xdr:rowOff>76200</xdr:rowOff>
    </xdr:from>
    <xdr:to>
      <xdr:col>4</xdr:col>
      <xdr:colOff>123825</xdr:colOff>
      <xdr:row>59</xdr:row>
      <xdr:rowOff>123825</xdr:rowOff>
    </xdr:to>
    <xdr:sp macro="" textlink="">
      <xdr:nvSpPr>
        <xdr:cNvPr id="3440" name="Объект 7"/>
        <xdr:cNvSpPr>
          <a:spLocks/>
        </xdr:cNvSpPr>
      </xdr:nvSpPr>
      <xdr:spPr bwMode="auto">
        <a:xfrm>
          <a:off x="1476375" y="84772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60</xdr:row>
      <xdr:rowOff>76200</xdr:rowOff>
    </xdr:from>
    <xdr:to>
      <xdr:col>3</xdr:col>
      <xdr:colOff>104775</xdr:colOff>
      <xdr:row>60</xdr:row>
      <xdr:rowOff>123825</xdr:rowOff>
    </xdr:to>
    <xdr:sp macro="" textlink="">
      <xdr:nvSpPr>
        <xdr:cNvPr id="3441" name="Объект 8"/>
        <xdr:cNvSpPr>
          <a:spLocks/>
        </xdr:cNvSpPr>
      </xdr:nvSpPr>
      <xdr:spPr bwMode="auto">
        <a:xfrm>
          <a:off x="1057275" y="86391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60</xdr:row>
      <xdr:rowOff>66675</xdr:rowOff>
    </xdr:from>
    <xdr:to>
      <xdr:col>4</xdr:col>
      <xdr:colOff>152400</xdr:colOff>
      <xdr:row>60</xdr:row>
      <xdr:rowOff>114300</xdr:rowOff>
    </xdr:to>
    <xdr:sp macro="" textlink="">
      <xdr:nvSpPr>
        <xdr:cNvPr id="3442" name="Объект 8"/>
        <xdr:cNvSpPr>
          <a:spLocks/>
        </xdr:cNvSpPr>
      </xdr:nvSpPr>
      <xdr:spPr bwMode="auto">
        <a:xfrm>
          <a:off x="1504950" y="86296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66</xdr:row>
      <xdr:rowOff>0</xdr:rowOff>
    </xdr:from>
    <xdr:to>
      <xdr:col>3</xdr:col>
      <xdr:colOff>85725</xdr:colOff>
      <xdr:row>66</xdr:row>
      <xdr:rowOff>0</xdr:rowOff>
    </xdr:to>
    <xdr:sp macro="" textlink="">
      <xdr:nvSpPr>
        <xdr:cNvPr id="3443" name="Объект 5"/>
        <xdr:cNvSpPr>
          <a:spLocks/>
        </xdr:cNvSpPr>
      </xdr:nvSpPr>
      <xdr:spPr bwMode="auto">
        <a:xfrm>
          <a:off x="1038225" y="92583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66</xdr:row>
      <xdr:rowOff>0</xdr:rowOff>
    </xdr:from>
    <xdr:to>
      <xdr:col>4</xdr:col>
      <xdr:colOff>123825</xdr:colOff>
      <xdr:row>66</xdr:row>
      <xdr:rowOff>0</xdr:rowOff>
    </xdr:to>
    <xdr:sp macro="" textlink="">
      <xdr:nvSpPr>
        <xdr:cNvPr id="3444" name="Объект 7"/>
        <xdr:cNvSpPr>
          <a:spLocks/>
        </xdr:cNvSpPr>
      </xdr:nvSpPr>
      <xdr:spPr bwMode="auto">
        <a:xfrm>
          <a:off x="1476375" y="92583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66</xdr:row>
      <xdr:rowOff>0</xdr:rowOff>
    </xdr:from>
    <xdr:to>
      <xdr:col>3</xdr:col>
      <xdr:colOff>104775</xdr:colOff>
      <xdr:row>66</xdr:row>
      <xdr:rowOff>0</xdr:rowOff>
    </xdr:to>
    <xdr:sp macro="" textlink="">
      <xdr:nvSpPr>
        <xdr:cNvPr id="3445" name="Объект 8"/>
        <xdr:cNvSpPr>
          <a:spLocks/>
        </xdr:cNvSpPr>
      </xdr:nvSpPr>
      <xdr:spPr bwMode="auto">
        <a:xfrm>
          <a:off x="1057275" y="92583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66</xdr:row>
      <xdr:rowOff>0</xdr:rowOff>
    </xdr:from>
    <xdr:to>
      <xdr:col>4</xdr:col>
      <xdr:colOff>152400</xdr:colOff>
      <xdr:row>66</xdr:row>
      <xdr:rowOff>0</xdr:rowOff>
    </xdr:to>
    <xdr:sp macro="" textlink="">
      <xdr:nvSpPr>
        <xdr:cNvPr id="3446" name="Объект 8"/>
        <xdr:cNvSpPr>
          <a:spLocks/>
        </xdr:cNvSpPr>
      </xdr:nvSpPr>
      <xdr:spPr bwMode="auto">
        <a:xfrm>
          <a:off x="1504950" y="92583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37</xdr:row>
      <xdr:rowOff>104775</xdr:rowOff>
    </xdr:from>
    <xdr:to>
      <xdr:col>3</xdr:col>
      <xdr:colOff>85725</xdr:colOff>
      <xdr:row>37</xdr:row>
      <xdr:rowOff>152400</xdr:rowOff>
    </xdr:to>
    <xdr:sp macro="" textlink="">
      <xdr:nvSpPr>
        <xdr:cNvPr id="5421" name="Объект 5"/>
        <xdr:cNvSpPr>
          <a:spLocks/>
        </xdr:cNvSpPr>
      </xdr:nvSpPr>
      <xdr:spPr bwMode="auto">
        <a:xfrm>
          <a:off x="2600325" y="81534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37</xdr:row>
      <xdr:rowOff>104775</xdr:rowOff>
    </xdr:from>
    <xdr:to>
      <xdr:col>3</xdr:col>
      <xdr:colOff>666750</xdr:colOff>
      <xdr:row>37</xdr:row>
      <xdr:rowOff>152400</xdr:rowOff>
    </xdr:to>
    <xdr:sp macro="" textlink="">
      <xdr:nvSpPr>
        <xdr:cNvPr id="5422" name="Объект 7"/>
        <xdr:cNvSpPr>
          <a:spLocks/>
        </xdr:cNvSpPr>
      </xdr:nvSpPr>
      <xdr:spPr bwMode="auto">
        <a:xfrm>
          <a:off x="3181350" y="81534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38</xdr:row>
      <xdr:rowOff>114300</xdr:rowOff>
    </xdr:from>
    <xdr:to>
      <xdr:col>3</xdr:col>
      <xdr:colOff>85725</xdr:colOff>
      <xdr:row>38</xdr:row>
      <xdr:rowOff>161925</xdr:rowOff>
    </xdr:to>
    <xdr:sp macro="" textlink="">
      <xdr:nvSpPr>
        <xdr:cNvPr id="5423" name="Объект 8"/>
        <xdr:cNvSpPr>
          <a:spLocks/>
        </xdr:cNvSpPr>
      </xdr:nvSpPr>
      <xdr:spPr bwMode="auto">
        <a:xfrm>
          <a:off x="2600325" y="83724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609600</xdr:colOff>
      <xdr:row>38</xdr:row>
      <xdr:rowOff>114300</xdr:rowOff>
    </xdr:from>
    <xdr:to>
      <xdr:col>3</xdr:col>
      <xdr:colOff>676275</xdr:colOff>
      <xdr:row>38</xdr:row>
      <xdr:rowOff>161925</xdr:rowOff>
    </xdr:to>
    <xdr:sp macro="" textlink="">
      <xdr:nvSpPr>
        <xdr:cNvPr id="5424" name="Объект 8"/>
        <xdr:cNvSpPr>
          <a:spLocks/>
        </xdr:cNvSpPr>
      </xdr:nvSpPr>
      <xdr:spPr bwMode="auto">
        <a:xfrm>
          <a:off x="3190875" y="83724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42</xdr:row>
      <xdr:rowOff>76200</xdr:rowOff>
    </xdr:from>
    <xdr:to>
      <xdr:col>3</xdr:col>
      <xdr:colOff>85725</xdr:colOff>
      <xdr:row>42</xdr:row>
      <xdr:rowOff>123825</xdr:rowOff>
    </xdr:to>
    <xdr:sp macro="" textlink="">
      <xdr:nvSpPr>
        <xdr:cNvPr id="5425" name="Объект 5"/>
        <xdr:cNvSpPr>
          <a:spLocks/>
        </xdr:cNvSpPr>
      </xdr:nvSpPr>
      <xdr:spPr bwMode="auto">
        <a:xfrm>
          <a:off x="2600325" y="91725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42</xdr:row>
      <xdr:rowOff>104775</xdr:rowOff>
    </xdr:from>
    <xdr:to>
      <xdr:col>3</xdr:col>
      <xdr:colOff>666750</xdr:colOff>
      <xdr:row>42</xdr:row>
      <xdr:rowOff>152400</xdr:rowOff>
    </xdr:to>
    <xdr:sp macro="" textlink="">
      <xdr:nvSpPr>
        <xdr:cNvPr id="5426" name="Объект 7"/>
        <xdr:cNvSpPr>
          <a:spLocks/>
        </xdr:cNvSpPr>
      </xdr:nvSpPr>
      <xdr:spPr bwMode="auto">
        <a:xfrm>
          <a:off x="3181350" y="92011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43</xdr:row>
      <xdr:rowOff>76200</xdr:rowOff>
    </xdr:from>
    <xdr:to>
      <xdr:col>3</xdr:col>
      <xdr:colOff>104775</xdr:colOff>
      <xdr:row>43</xdr:row>
      <xdr:rowOff>123825</xdr:rowOff>
    </xdr:to>
    <xdr:sp macro="" textlink="">
      <xdr:nvSpPr>
        <xdr:cNvPr id="5427" name="Объект 8"/>
        <xdr:cNvSpPr>
          <a:spLocks/>
        </xdr:cNvSpPr>
      </xdr:nvSpPr>
      <xdr:spPr bwMode="auto">
        <a:xfrm>
          <a:off x="2619375" y="93821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619125</xdr:colOff>
      <xdr:row>43</xdr:row>
      <xdr:rowOff>95250</xdr:rowOff>
    </xdr:from>
    <xdr:to>
      <xdr:col>3</xdr:col>
      <xdr:colOff>685800</xdr:colOff>
      <xdr:row>43</xdr:row>
      <xdr:rowOff>142875</xdr:rowOff>
    </xdr:to>
    <xdr:sp macro="" textlink="">
      <xdr:nvSpPr>
        <xdr:cNvPr id="5428" name="Объект 8"/>
        <xdr:cNvSpPr>
          <a:spLocks/>
        </xdr:cNvSpPr>
      </xdr:nvSpPr>
      <xdr:spPr bwMode="auto">
        <a:xfrm>
          <a:off x="3200400" y="94011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49</xdr:row>
      <xdr:rowOff>0</xdr:rowOff>
    </xdr:from>
    <xdr:to>
      <xdr:col>3</xdr:col>
      <xdr:colOff>85725</xdr:colOff>
      <xdr:row>49</xdr:row>
      <xdr:rowOff>0</xdr:rowOff>
    </xdr:to>
    <xdr:sp macro="" textlink="">
      <xdr:nvSpPr>
        <xdr:cNvPr id="5429" name="Объект 5"/>
        <xdr:cNvSpPr>
          <a:spLocks/>
        </xdr:cNvSpPr>
      </xdr:nvSpPr>
      <xdr:spPr bwMode="auto">
        <a:xfrm>
          <a:off x="2600325" y="1056322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49</xdr:row>
      <xdr:rowOff>0</xdr:rowOff>
    </xdr:from>
    <xdr:to>
      <xdr:col>4</xdr:col>
      <xdr:colOff>123825</xdr:colOff>
      <xdr:row>49</xdr:row>
      <xdr:rowOff>0</xdr:rowOff>
    </xdr:to>
    <xdr:sp macro="" textlink="">
      <xdr:nvSpPr>
        <xdr:cNvPr id="5430" name="Объект 7"/>
        <xdr:cNvSpPr>
          <a:spLocks/>
        </xdr:cNvSpPr>
      </xdr:nvSpPr>
      <xdr:spPr bwMode="auto">
        <a:xfrm>
          <a:off x="3448050" y="1056322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49</xdr:row>
      <xdr:rowOff>0</xdr:rowOff>
    </xdr:from>
    <xdr:to>
      <xdr:col>3</xdr:col>
      <xdr:colOff>104775</xdr:colOff>
      <xdr:row>49</xdr:row>
      <xdr:rowOff>0</xdr:rowOff>
    </xdr:to>
    <xdr:sp macro="" textlink="">
      <xdr:nvSpPr>
        <xdr:cNvPr id="5431" name="Объект 8"/>
        <xdr:cNvSpPr>
          <a:spLocks/>
        </xdr:cNvSpPr>
      </xdr:nvSpPr>
      <xdr:spPr bwMode="auto">
        <a:xfrm>
          <a:off x="2619375" y="1056322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49</xdr:row>
      <xdr:rowOff>0</xdr:rowOff>
    </xdr:from>
    <xdr:to>
      <xdr:col>4</xdr:col>
      <xdr:colOff>152400</xdr:colOff>
      <xdr:row>49</xdr:row>
      <xdr:rowOff>0</xdr:rowOff>
    </xdr:to>
    <xdr:sp macro="" textlink="">
      <xdr:nvSpPr>
        <xdr:cNvPr id="5432" name="Объект 8"/>
        <xdr:cNvSpPr>
          <a:spLocks/>
        </xdr:cNvSpPr>
      </xdr:nvSpPr>
      <xdr:spPr bwMode="auto">
        <a:xfrm>
          <a:off x="3476625" y="1056322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86</xdr:row>
      <xdr:rowOff>104775</xdr:rowOff>
    </xdr:from>
    <xdr:to>
      <xdr:col>3</xdr:col>
      <xdr:colOff>85725</xdr:colOff>
      <xdr:row>86</xdr:row>
      <xdr:rowOff>152400</xdr:rowOff>
    </xdr:to>
    <xdr:sp macro="" textlink="">
      <xdr:nvSpPr>
        <xdr:cNvPr id="5433" name="Объект 5"/>
        <xdr:cNvSpPr>
          <a:spLocks/>
        </xdr:cNvSpPr>
      </xdr:nvSpPr>
      <xdr:spPr bwMode="auto">
        <a:xfrm>
          <a:off x="2600325" y="187642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86</xdr:row>
      <xdr:rowOff>104775</xdr:rowOff>
    </xdr:from>
    <xdr:to>
      <xdr:col>3</xdr:col>
      <xdr:colOff>666750</xdr:colOff>
      <xdr:row>86</xdr:row>
      <xdr:rowOff>152400</xdr:rowOff>
    </xdr:to>
    <xdr:sp macro="" textlink="">
      <xdr:nvSpPr>
        <xdr:cNvPr id="5434" name="Объект 7"/>
        <xdr:cNvSpPr>
          <a:spLocks/>
        </xdr:cNvSpPr>
      </xdr:nvSpPr>
      <xdr:spPr bwMode="auto">
        <a:xfrm>
          <a:off x="3181350" y="187642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87</xdr:row>
      <xdr:rowOff>114300</xdr:rowOff>
    </xdr:from>
    <xdr:to>
      <xdr:col>3</xdr:col>
      <xdr:colOff>85725</xdr:colOff>
      <xdr:row>87</xdr:row>
      <xdr:rowOff>161925</xdr:rowOff>
    </xdr:to>
    <xdr:sp macro="" textlink="">
      <xdr:nvSpPr>
        <xdr:cNvPr id="5435" name="Объект 8"/>
        <xdr:cNvSpPr>
          <a:spLocks/>
        </xdr:cNvSpPr>
      </xdr:nvSpPr>
      <xdr:spPr bwMode="auto">
        <a:xfrm>
          <a:off x="2600325" y="189833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609600</xdr:colOff>
      <xdr:row>87</xdr:row>
      <xdr:rowOff>114300</xdr:rowOff>
    </xdr:from>
    <xdr:to>
      <xdr:col>3</xdr:col>
      <xdr:colOff>676275</xdr:colOff>
      <xdr:row>87</xdr:row>
      <xdr:rowOff>161925</xdr:rowOff>
    </xdr:to>
    <xdr:sp macro="" textlink="">
      <xdr:nvSpPr>
        <xdr:cNvPr id="5436" name="Объект 8"/>
        <xdr:cNvSpPr>
          <a:spLocks/>
        </xdr:cNvSpPr>
      </xdr:nvSpPr>
      <xdr:spPr bwMode="auto">
        <a:xfrm>
          <a:off x="3190875" y="189833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91</xdr:row>
      <xdr:rowOff>76200</xdr:rowOff>
    </xdr:from>
    <xdr:to>
      <xdr:col>3</xdr:col>
      <xdr:colOff>85725</xdr:colOff>
      <xdr:row>91</xdr:row>
      <xdr:rowOff>123825</xdr:rowOff>
    </xdr:to>
    <xdr:sp macro="" textlink="">
      <xdr:nvSpPr>
        <xdr:cNvPr id="5437" name="Объект 5"/>
        <xdr:cNvSpPr>
          <a:spLocks/>
        </xdr:cNvSpPr>
      </xdr:nvSpPr>
      <xdr:spPr bwMode="auto">
        <a:xfrm>
          <a:off x="2600325" y="197834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91</xdr:row>
      <xdr:rowOff>104775</xdr:rowOff>
    </xdr:from>
    <xdr:to>
      <xdr:col>3</xdr:col>
      <xdr:colOff>666750</xdr:colOff>
      <xdr:row>91</xdr:row>
      <xdr:rowOff>152400</xdr:rowOff>
    </xdr:to>
    <xdr:sp macro="" textlink="">
      <xdr:nvSpPr>
        <xdr:cNvPr id="5438" name="Объект 7"/>
        <xdr:cNvSpPr>
          <a:spLocks/>
        </xdr:cNvSpPr>
      </xdr:nvSpPr>
      <xdr:spPr bwMode="auto">
        <a:xfrm>
          <a:off x="3181350" y="198120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92</xdr:row>
      <xdr:rowOff>76200</xdr:rowOff>
    </xdr:from>
    <xdr:to>
      <xdr:col>3</xdr:col>
      <xdr:colOff>104775</xdr:colOff>
      <xdr:row>92</xdr:row>
      <xdr:rowOff>123825</xdr:rowOff>
    </xdr:to>
    <xdr:sp macro="" textlink="">
      <xdr:nvSpPr>
        <xdr:cNvPr id="5439" name="Объект 8"/>
        <xdr:cNvSpPr>
          <a:spLocks/>
        </xdr:cNvSpPr>
      </xdr:nvSpPr>
      <xdr:spPr bwMode="auto">
        <a:xfrm>
          <a:off x="2619375" y="199929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619125</xdr:colOff>
      <xdr:row>92</xdr:row>
      <xdr:rowOff>95250</xdr:rowOff>
    </xdr:from>
    <xdr:to>
      <xdr:col>3</xdr:col>
      <xdr:colOff>685800</xdr:colOff>
      <xdr:row>92</xdr:row>
      <xdr:rowOff>142875</xdr:rowOff>
    </xdr:to>
    <xdr:sp macro="" textlink="">
      <xdr:nvSpPr>
        <xdr:cNvPr id="5440" name="Объект 8"/>
        <xdr:cNvSpPr>
          <a:spLocks/>
        </xdr:cNvSpPr>
      </xdr:nvSpPr>
      <xdr:spPr bwMode="auto">
        <a:xfrm>
          <a:off x="3200400" y="200120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98</xdr:row>
      <xdr:rowOff>0</xdr:rowOff>
    </xdr:from>
    <xdr:to>
      <xdr:col>3</xdr:col>
      <xdr:colOff>85725</xdr:colOff>
      <xdr:row>98</xdr:row>
      <xdr:rowOff>0</xdr:rowOff>
    </xdr:to>
    <xdr:sp macro="" textlink="">
      <xdr:nvSpPr>
        <xdr:cNvPr id="5441" name="Объект 5"/>
        <xdr:cNvSpPr>
          <a:spLocks/>
        </xdr:cNvSpPr>
      </xdr:nvSpPr>
      <xdr:spPr bwMode="auto">
        <a:xfrm>
          <a:off x="2600325" y="211740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98</xdr:row>
      <xdr:rowOff>0</xdr:rowOff>
    </xdr:from>
    <xdr:to>
      <xdr:col>4</xdr:col>
      <xdr:colOff>123825</xdr:colOff>
      <xdr:row>98</xdr:row>
      <xdr:rowOff>0</xdr:rowOff>
    </xdr:to>
    <xdr:sp macro="" textlink="">
      <xdr:nvSpPr>
        <xdr:cNvPr id="5442" name="Объект 7"/>
        <xdr:cNvSpPr>
          <a:spLocks/>
        </xdr:cNvSpPr>
      </xdr:nvSpPr>
      <xdr:spPr bwMode="auto">
        <a:xfrm>
          <a:off x="3448050" y="211740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98</xdr:row>
      <xdr:rowOff>0</xdr:rowOff>
    </xdr:from>
    <xdr:to>
      <xdr:col>3</xdr:col>
      <xdr:colOff>104775</xdr:colOff>
      <xdr:row>98</xdr:row>
      <xdr:rowOff>0</xdr:rowOff>
    </xdr:to>
    <xdr:sp macro="" textlink="">
      <xdr:nvSpPr>
        <xdr:cNvPr id="5443" name="Объект 8"/>
        <xdr:cNvSpPr>
          <a:spLocks/>
        </xdr:cNvSpPr>
      </xdr:nvSpPr>
      <xdr:spPr bwMode="auto">
        <a:xfrm>
          <a:off x="2619375" y="211740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98</xdr:row>
      <xdr:rowOff>0</xdr:rowOff>
    </xdr:from>
    <xdr:to>
      <xdr:col>4</xdr:col>
      <xdr:colOff>152400</xdr:colOff>
      <xdr:row>98</xdr:row>
      <xdr:rowOff>0</xdr:rowOff>
    </xdr:to>
    <xdr:sp macro="" textlink="">
      <xdr:nvSpPr>
        <xdr:cNvPr id="5444" name="Объект 8"/>
        <xdr:cNvSpPr>
          <a:spLocks/>
        </xdr:cNvSpPr>
      </xdr:nvSpPr>
      <xdr:spPr bwMode="auto">
        <a:xfrm>
          <a:off x="3476625" y="211740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86</xdr:row>
      <xdr:rowOff>104775</xdr:rowOff>
    </xdr:from>
    <xdr:to>
      <xdr:col>3</xdr:col>
      <xdr:colOff>85725</xdr:colOff>
      <xdr:row>86</xdr:row>
      <xdr:rowOff>152400</xdr:rowOff>
    </xdr:to>
    <xdr:sp macro="" textlink="">
      <xdr:nvSpPr>
        <xdr:cNvPr id="5445" name="Объект 5"/>
        <xdr:cNvSpPr>
          <a:spLocks/>
        </xdr:cNvSpPr>
      </xdr:nvSpPr>
      <xdr:spPr bwMode="auto">
        <a:xfrm>
          <a:off x="2600325" y="187642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86</xdr:row>
      <xdr:rowOff>104775</xdr:rowOff>
    </xdr:from>
    <xdr:to>
      <xdr:col>3</xdr:col>
      <xdr:colOff>666750</xdr:colOff>
      <xdr:row>86</xdr:row>
      <xdr:rowOff>152400</xdr:rowOff>
    </xdr:to>
    <xdr:sp macro="" textlink="">
      <xdr:nvSpPr>
        <xdr:cNvPr id="5446" name="Объект 7"/>
        <xdr:cNvSpPr>
          <a:spLocks/>
        </xdr:cNvSpPr>
      </xdr:nvSpPr>
      <xdr:spPr bwMode="auto">
        <a:xfrm>
          <a:off x="3181350" y="187642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87</xdr:row>
      <xdr:rowOff>114300</xdr:rowOff>
    </xdr:from>
    <xdr:to>
      <xdr:col>3</xdr:col>
      <xdr:colOff>85725</xdr:colOff>
      <xdr:row>87</xdr:row>
      <xdr:rowOff>161925</xdr:rowOff>
    </xdr:to>
    <xdr:sp macro="" textlink="">
      <xdr:nvSpPr>
        <xdr:cNvPr id="5447" name="Объект 8"/>
        <xdr:cNvSpPr>
          <a:spLocks/>
        </xdr:cNvSpPr>
      </xdr:nvSpPr>
      <xdr:spPr bwMode="auto">
        <a:xfrm>
          <a:off x="2600325" y="189833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609600</xdr:colOff>
      <xdr:row>87</xdr:row>
      <xdr:rowOff>114300</xdr:rowOff>
    </xdr:from>
    <xdr:to>
      <xdr:col>3</xdr:col>
      <xdr:colOff>676275</xdr:colOff>
      <xdr:row>87</xdr:row>
      <xdr:rowOff>161925</xdr:rowOff>
    </xdr:to>
    <xdr:sp macro="" textlink="">
      <xdr:nvSpPr>
        <xdr:cNvPr id="5448" name="Объект 8"/>
        <xdr:cNvSpPr>
          <a:spLocks/>
        </xdr:cNvSpPr>
      </xdr:nvSpPr>
      <xdr:spPr bwMode="auto">
        <a:xfrm>
          <a:off x="3190875" y="189833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91</xdr:row>
      <xdr:rowOff>76200</xdr:rowOff>
    </xdr:from>
    <xdr:to>
      <xdr:col>3</xdr:col>
      <xdr:colOff>85725</xdr:colOff>
      <xdr:row>91</xdr:row>
      <xdr:rowOff>123825</xdr:rowOff>
    </xdr:to>
    <xdr:sp macro="" textlink="">
      <xdr:nvSpPr>
        <xdr:cNvPr id="5449" name="Объект 5"/>
        <xdr:cNvSpPr>
          <a:spLocks/>
        </xdr:cNvSpPr>
      </xdr:nvSpPr>
      <xdr:spPr bwMode="auto">
        <a:xfrm>
          <a:off x="2600325" y="197834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91</xdr:row>
      <xdr:rowOff>104775</xdr:rowOff>
    </xdr:from>
    <xdr:to>
      <xdr:col>3</xdr:col>
      <xdr:colOff>666750</xdr:colOff>
      <xdr:row>91</xdr:row>
      <xdr:rowOff>152400</xdr:rowOff>
    </xdr:to>
    <xdr:sp macro="" textlink="">
      <xdr:nvSpPr>
        <xdr:cNvPr id="5450" name="Объект 7"/>
        <xdr:cNvSpPr>
          <a:spLocks/>
        </xdr:cNvSpPr>
      </xdr:nvSpPr>
      <xdr:spPr bwMode="auto">
        <a:xfrm>
          <a:off x="3181350" y="198120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92</xdr:row>
      <xdr:rowOff>76200</xdr:rowOff>
    </xdr:from>
    <xdr:to>
      <xdr:col>3</xdr:col>
      <xdr:colOff>104775</xdr:colOff>
      <xdr:row>92</xdr:row>
      <xdr:rowOff>123825</xdr:rowOff>
    </xdr:to>
    <xdr:sp macro="" textlink="">
      <xdr:nvSpPr>
        <xdr:cNvPr id="5451" name="Объект 8"/>
        <xdr:cNvSpPr>
          <a:spLocks/>
        </xdr:cNvSpPr>
      </xdr:nvSpPr>
      <xdr:spPr bwMode="auto">
        <a:xfrm>
          <a:off x="2619375" y="199929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619125</xdr:colOff>
      <xdr:row>92</xdr:row>
      <xdr:rowOff>95250</xdr:rowOff>
    </xdr:from>
    <xdr:to>
      <xdr:col>3</xdr:col>
      <xdr:colOff>685800</xdr:colOff>
      <xdr:row>92</xdr:row>
      <xdr:rowOff>142875</xdr:rowOff>
    </xdr:to>
    <xdr:sp macro="" textlink="">
      <xdr:nvSpPr>
        <xdr:cNvPr id="5452" name="Объект 8"/>
        <xdr:cNvSpPr>
          <a:spLocks/>
        </xdr:cNvSpPr>
      </xdr:nvSpPr>
      <xdr:spPr bwMode="auto">
        <a:xfrm>
          <a:off x="3200400" y="200120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98</xdr:row>
      <xdr:rowOff>0</xdr:rowOff>
    </xdr:from>
    <xdr:to>
      <xdr:col>3</xdr:col>
      <xdr:colOff>85725</xdr:colOff>
      <xdr:row>98</xdr:row>
      <xdr:rowOff>0</xdr:rowOff>
    </xdr:to>
    <xdr:sp macro="" textlink="">
      <xdr:nvSpPr>
        <xdr:cNvPr id="5453" name="Объект 5"/>
        <xdr:cNvSpPr>
          <a:spLocks/>
        </xdr:cNvSpPr>
      </xdr:nvSpPr>
      <xdr:spPr bwMode="auto">
        <a:xfrm>
          <a:off x="2600325" y="211740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98</xdr:row>
      <xdr:rowOff>0</xdr:rowOff>
    </xdr:from>
    <xdr:to>
      <xdr:col>4</xdr:col>
      <xdr:colOff>123825</xdr:colOff>
      <xdr:row>98</xdr:row>
      <xdr:rowOff>0</xdr:rowOff>
    </xdr:to>
    <xdr:sp macro="" textlink="">
      <xdr:nvSpPr>
        <xdr:cNvPr id="5454" name="Объект 7"/>
        <xdr:cNvSpPr>
          <a:spLocks/>
        </xdr:cNvSpPr>
      </xdr:nvSpPr>
      <xdr:spPr bwMode="auto">
        <a:xfrm>
          <a:off x="3448050" y="211740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98</xdr:row>
      <xdr:rowOff>0</xdr:rowOff>
    </xdr:from>
    <xdr:to>
      <xdr:col>3</xdr:col>
      <xdr:colOff>104775</xdr:colOff>
      <xdr:row>98</xdr:row>
      <xdr:rowOff>0</xdr:rowOff>
    </xdr:to>
    <xdr:sp macro="" textlink="">
      <xdr:nvSpPr>
        <xdr:cNvPr id="5455" name="Объект 8"/>
        <xdr:cNvSpPr>
          <a:spLocks/>
        </xdr:cNvSpPr>
      </xdr:nvSpPr>
      <xdr:spPr bwMode="auto">
        <a:xfrm>
          <a:off x="2619375" y="211740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98</xdr:row>
      <xdr:rowOff>0</xdr:rowOff>
    </xdr:from>
    <xdr:to>
      <xdr:col>4</xdr:col>
      <xdr:colOff>152400</xdr:colOff>
      <xdr:row>98</xdr:row>
      <xdr:rowOff>0</xdr:rowOff>
    </xdr:to>
    <xdr:sp macro="" textlink="">
      <xdr:nvSpPr>
        <xdr:cNvPr id="5456" name="Объект 8"/>
        <xdr:cNvSpPr>
          <a:spLocks/>
        </xdr:cNvSpPr>
      </xdr:nvSpPr>
      <xdr:spPr bwMode="auto">
        <a:xfrm>
          <a:off x="3476625" y="211740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37</xdr:row>
      <xdr:rowOff>104775</xdr:rowOff>
    </xdr:from>
    <xdr:to>
      <xdr:col>3</xdr:col>
      <xdr:colOff>85725</xdr:colOff>
      <xdr:row>37</xdr:row>
      <xdr:rowOff>152400</xdr:rowOff>
    </xdr:to>
    <xdr:sp macro="" textlink="">
      <xdr:nvSpPr>
        <xdr:cNvPr id="5457" name="Объект 5"/>
        <xdr:cNvSpPr>
          <a:spLocks/>
        </xdr:cNvSpPr>
      </xdr:nvSpPr>
      <xdr:spPr bwMode="auto">
        <a:xfrm>
          <a:off x="2600325" y="81534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37</xdr:row>
      <xdr:rowOff>104775</xdr:rowOff>
    </xdr:from>
    <xdr:to>
      <xdr:col>3</xdr:col>
      <xdr:colOff>666750</xdr:colOff>
      <xdr:row>37</xdr:row>
      <xdr:rowOff>152400</xdr:rowOff>
    </xdr:to>
    <xdr:sp macro="" textlink="">
      <xdr:nvSpPr>
        <xdr:cNvPr id="5458" name="Объект 7"/>
        <xdr:cNvSpPr>
          <a:spLocks/>
        </xdr:cNvSpPr>
      </xdr:nvSpPr>
      <xdr:spPr bwMode="auto">
        <a:xfrm>
          <a:off x="3181350" y="81534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38</xdr:row>
      <xdr:rowOff>114300</xdr:rowOff>
    </xdr:from>
    <xdr:to>
      <xdr:col>3</xdr:col>
      <xdr:colOff>85725</xdr:colOff>
      <xdr:row>38</xdr:row>
      <xdr:rowOff>161925</xdr:rowOff>
    </xdr:to>
    <xdr:sp macro="" textlink="">
      <xdr:nvSpPr>
        <xdr:cNvPr id="5459" name="Объект 8"/>
        <xdr:cNvSpPr>
          <a:spLocks/>
        </xdr:cNvSpPr>
      </xdr:nvSpPr>
      <xdr:spPr bwMode="auto">
        <a:xfrm>
          <a:off x="2600325" y="83724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609600</xdr:colOff>
      <xdr:row>38</xdr:row>
      <xdr:rowOff>114300</xdr:rowOff>
    </xdr:from>
    <xdr:to>
      <xdr:col>3</xdr:col>
      <xdr:colOff>676275</xdr:colOff>
      <xdr:row>38</xdr:row>
      <xdr:rowOff>161925</xdr:rowOff>
    </xdr:to>
    <xdr:sp macro="" textlink="">
      <xdr:nvSpPr>
        <xdr:cNvPr id="5460" name="Объект 8"/>
        <xdr:cNvSpPr>
          <a:spLocks/>
        </xdr:cNvSpPr>
      </xdr:nvSpPr>
      <xdr:spPr bwMode="auto">
        <a:xfrm>
          <a:off x="3190875" y="83724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42</xdr:row>
      <xdr:rowOff>76200</xdr:rowOff>
    </xdr:from>
    <xdr:to>
      <xdr:col>3</xdr:col>
      <xdr:colOff>85725</xdr:colOff>
      <xdr:row>42</xdr:row>
      <xdr:rowOff>123825</xdr:rowOff>
    </xdr:to>
    <xdr:sp macro="" textlink="">
      <xdr:nvSpPr>
        <xdr:cNvPr id="5461" name="Объект 5"/>
        <xdr:cNvSpPr>
          <a:spLocks/>
        </xdr:cNvSpPr>
      </xdr:nvSpPr>
      <xdr:spPr bwMode="auto">
        <a:xfrm>
          <a:off x="2600325" y="91725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42</xdr:row>
      <xdr:rowOff>104775</xdr:rowOff>
    </xdr:from>
    <xdr:to>
      <xdr:col>3</xdr:col>
      <xdr:colOff>666750</xdr:colOff>
      <xdr:row>42</xdr:row>
      <xdr:rowOff>152400</xdr:rowOff>
    </xdr:to>
    <xdr:sp macro="" textlink="">
      <xdr:nvSpPr>
        <xdr:cNvPr id="5462" name="Объект 7"/>
        <xdr:cNvSpPr>
          <a:spLocks/>
        </xdr:cNvSpPr>
      </xdr:nvSpPr>
      <xdr:spPr bwMode="auto">
        <a:xfrm>
          <a:off x="3181350" y="92011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43</xdr:row>
      <xdr:rowOff>76200</xdr:rowOff>
    </xdr:from>
    <xdr:to>
      <xdr:col>3</xdr:col>
      <xdr:colOff>104775</xdr:colOff>
      <xdr:row>43</xdr:row>
      <xdr:rowOff>123825</xdr:rowOff>
    </xdr:to>
    <xdr:sp macro="" textlink="">
      <xdr:nvSpPr>
        <xdr:cNvPr id="5463" name="Объект 8"/>
        <xdr:cNvSpPr>
          <a:spLocks/>
        </xdr:cNvSpPr>
      </xdr:nvSpPr>
      <xdr:spPr bwMode="auto">
        <a:xfrm>
          <a:off x="2619375" y="93821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619125</xdr:colOff>
      <xdr:row>43</xdr:row>
      <xdr:rowOff>95250</xdr:rowOff>
    </xdr:from>
    <xdr:to>
      <xdr:col>3</xdr:col>
      <xdr:colOff>685800</xdr:colOff>
      <xdr:row>43</xdr:row>
      <xdr:rowOff>142875</xdr:rowOff>
    </xdr:to>
    <xdr:sp macro="" textlink="">
      <xdr:nvSpPr>
        <xdr:cNvPr id="5464" name="Объект 8"/>
        <xdr:cNvSpPr>
          <a:spLocks/>
        </xdr:cNvSpPr>
      </xdr:nvSpPr>
      <xdr:spPr bwMode="auto">
        <a:xfrm>
          <a:off x="3200400" y="94011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86</xdr:row>
      <xdr:rowOff>104775</xdr:rowOff>
    </xdr:from>
    <xdr:to>
      <xdr:col>3</xdr:col>
      <xdr:colOff>85725</xdr:colOff>
      <xdr:row>86</xdr:row>
      <xdr:rowOff>152400</xdr:rowOff>
    </xdr:to>
    <xdr:sp macro="" textlink="">
      <xdr:nvSpPr>
        <xdr:cNvPr id="5465" name="Объект 5"/>
        <xdr:cNvSpPr>
          <a:spLocks/>
        </xdr:cNvSpPr>
      </xdr:nvSpPr>
      <xdr:spPr bwMode="auto">
        <a:xfrm>
          <a:off x="2600325" y="187642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86</xdr:row>
      <xdr:rowOff>104775</xdr:rowOff>
    </xdr:from>
    <xdr:to>
      <xdr:col>3</xdr:col>
      <xdr:colOff>666750</xdr:colOff>
      <xdr:row>86</xdr:row>
      <xdr:rowOff>152400</xdr:rowOff>
    </xdr:to>
    <xdr:sp macro="" textlink="">
      <xdr:nvSpPr>
        <xdr:cNvPr id="5466" name="Объект 7"/>
        <xdr:cNvSpPr>
          <a:spLocks/>
        </xdr:cNvSpPr>
      </xdr:nvSpPr>
      <xdr:spPr bwMode="auto">
        <a:xfrm>
          <a:off x="3181350" y="187642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87</xdr:row>
      <xdr:rowOff>114300</xdr:rowOff>
    </xdr:from>
    <xdr:to>
      <xdr:col>3</xdr:col>
      <xdr:colOff>85725</xdr:colOff>
      <xdr:row>87</xdr:row>
      <xdr:rowOff>161925</xdr:rowOff>
    </xdr:to>
    <xdr:sp macro="" textlink="">
      <xdr:nvSpPr>
        <xdr:cNvPr id="5467" name="Объект 8"/>
        <xdr:cNvSpPr>
          <a:spLocks/>
        </xdr:cNvSpPr>
      </xdr:nvSpPr>
      <xdr:spPr bwMode="auto">
        <a:xfrm>
          <a:off x="2600325" y="189833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609600</xdr:colOff>
      <xdr:row>87</xdr:row>
      <xdr:rowOff>114300</xdr:rowOff>
    </xdr:from>
    <xdr:to>
      <xdr:col>3</xdr:col>
      <xdr:colOff>676275</xdr:colOff>
      <xdr:row>87</xdr:row>
      <xdr:rowOff>161925</xdr:rowOff>
    </xdr:to>
    <xdr:sp macro="" textlink="">
      <xdr:nvSpPr>
        <xdr:cNvPr id="5468" name="Объект 8"/>
        <xdr:cNvSpPr>
          <a:spLocks/>
        </xdr:cNvSpPr>
      </xdr:nvSpPr>
      <xdr:spPr bwMode="auto">
        <a:xfrm>
          <a:off x="3190875" y="189833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91</xdr:row>
      <xdr:rowOff>76200</xdr:rowOff>
    </xdr:from>
    <xdr:to>
      <xdr:col>3</xdr:col>
      <xdr:colOff>85725</xdr:colOff>
      <xdr:row>91</xdr:row>
      <xdr:rowOff>123825</xdr:rowOff>
    </xdr:to>
    <xdr:sp macro="" textlink="">
      <xdr:nvSpPr>
        <xdr:cNvPr id="5469" name="Объект 5"/>
        <xdr:cNvSpPr>
          <a:spLocks/>
        </xdr:cNvSpPr>
      </xdr:nvSpPr>
      <xdr:spPr bwMode="auto">
        <a:xfrm>
          <a:off x="2600325" y="197834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91</xdr:row>
      <xdr:rowOff>104775</xdr:rowOff>
    </xdr:from>
    <xdr:to>
      <xdr:col>3</xdr:col>
      <xdr:colOff>666750</xdr:colOff>
      <xdr:row>91</xdr:row>
      <xdr:rowOff>152400</xdr:rowOff>
    </xdr:to>
    <xdr:sp macro="" textlink="">
      <xdr:nvSpPr>
        <xdr:cNvPr id="5470" name="Объект 7"/>
        <xdr:cNvSpPr>
          <a:spLocks/>
        </xdr:cNvSpPr>
      </xdr:nvSpPr>
      <xdr:spPr bwMode="auto">
        <a:xfrm>
          <a:off x="3181350" y="198120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92</xdr:row>
      <xdr:rowOff>76200</xdr:rowOff>
    </xdr:from>
    <xdr:to>
      <xdr:col>3</xdr:col>
      <xdr:colOff>104775</xdr:colOff>
      <xdr:row>92</xdr:row>
      <xdr:rowOff>123825</xdr:rowOff>
    </xdr:to>
    <xdr:sp macro="" textlink="">
      <xdr:nvSpPr>
        <xdr:cNvPr id="5471" name="Объект 8"/>
        <xdr:cNvSpPr>
          <a:spLocks/>
        </xdr:cNvSpPr>
      </xdr:nvSpPr>
      <xdr:spPr bwMode="auto">
        <a:xfrm>
          <a:off x="2619375" y="199929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619125</xdr:colOff>
      <xdr:row>92</xdr:row>
      <xdr:rowOff>95250</xdr:rowOff>
    </xdr:from>
    <xdr:to>
      <xdr:col>3</xdr:col>
      <xdr:colOff>685800</xdr:colOff>
      <xdr:row>92</xdr:row>
      <xdr:rowOff>142875</xdr:rowOff>
    </xdr:to>
    <xdr:sp macro="" textlink="">
      <xdr:nvSpPr>
        <xdr:cNvPr id="5472" name="Объект 8"/>
        <xdr:cNvSpPr>
          <a:spLocks/>
        </xdr:cNvSpPr>
      </xdr:nvSpPr>
      <xdr:spPr bwMode="auto">
        <a:xfrm>
          <a:off x="3200400" y="200120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86</xdr:row>
      <xdr:rowOff>104775</xdr:rowOff>
    </xdr:from>
    <xdr:to>
      <xdr:col>3</xdr:col>
      <xdr:colOff>85725</xdr:colOff>
      <xdr:row>86</xdr:row>
      <xdr:rowOff>152400</xdr:rowOff>
    </xdr:to>
    <xdr:sp macro="" textlink="">
      <xdr:nvSpPr>
        <xdr:cNvPr id="5473" name="Объект 5"/>
        <xdr:cNvSpPr>
          <a:spLocks/>
        </xdr:cNvSpPr>
      </xdr:nvSpPr>
      <xdr:spPr bwMode="auto">
        <a:xfrm>
          <a:off x="2600325" y="187642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86</xdr:row>
      <xdr:rowOff>104775</xdr:rowOff>
    </xdr:from>
    <xdr:to>
      <xdr:col>3</xdr:col>
      <xdr:colOff>666750</xdr:colOff>
      <xdr:row>86</xdr:row>
      <xdr:rowOff>152400</xdr:rowOff>
    </xdr:to>
    <xdr:sp macro="" textlink="">
      <xdr:nvSpPr>
        <xdr:cNvPr id="5474" name="Объект 7"/>
        <xdr:cNvSpPr>
          <a:spLocks/>
        </xdr:cNvSpPr>
      </xdr:nvSpPr>
      <xdr:spPr bwMode="auto">
        <a:xfrm>
          <a:off x="3181350" y="187642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87</xdr:row>
      <xdr:rowOff>114300</xdr:rowOff>
    </xdr:from>
    <xdr:to>
      <xdr:col>3</xdr:col>
      <xdr:colOff>85725</xdr:colOff>
      <xdr:row>87</xdr:row>
      <xdr:rowOff>161925</xdr:rowOff>
    </xdr:to>
    <xdr:sp macro="" textlink="">
      <xdr:nvSpPr>
        <xdr:cNvPr id="5475" name="Объект 8"/>
        <xdr:cNvSpPr>
          <a:spLocks/>
        </xdr:cNvSpPr>
      </xdr:nvSpPr>
      <xdr:spPr bwMode="auto">
        <a:xfrm>
          <a:off x="2600325" y="189833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609600</xdr:colOff>
      <xdr:row>87</xdr:row>
      <xdr:rowOff>114300</xdr:rowOff>
    </xdr:from>
    <xdr:to>
      <xdr:col>3</xdr:col>
      <xdr:colOff>676275</xdr:colOff>
      <xdr:row>87</xdr:row>
      <xdr:rowOff>161925</xdr:rowOff>
    </xdr:to>
    <xdr:sp macro="" textlink="">
      <xdr:nvSpPr>
        <xdr:cNvPr id="5476" name="Объект 8"/>
        <xdr:cNvSpPr>
          <a:spLocks/>
        </xdr:cNvSpPr>
      </xdr:nvSpPr>
      <xdr:spPr bwMode="auto">
        <a:xfrm>
          <a:off x="3190875" y="189833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91</xdr:row>
      <xdr:rowOff>76200</xdr:rowOff>
    </xdr:from>
    <xdr:to>
      <xdr:col>3</xdr:col>
      <xdr:colOff>85725</xdr:colOff>
      <xdr:row>91</xdr:row>
      <xdr:rowOff>123825</xdr:rowOff>
    </xdr:to>
    <xdr:sp macro="" textlink="">
      <xdr:nvSpPr>
        <xdr:cNvPr id="5477" name="Объект 5"/>
        <xdr:cNvSpPr>
          <a:spLocks/>
        </xdr:cNvSpPr>
      </xdr:nvSpPr>
      <xdr:spPr bwMode="auto">
        <a:xfrm>
          <a:off x="2600325" y="197834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91</xdr:row>
      <xdr:rowOff>104775</xdr:rowOff>
    </xdr:from>
    <xdr:to>
      <xdr:col>3</xdr:col>
      <xdr:colOff>666750</xdr:colOff>
      <xdr:row>91</xdr:row>
      <xdr:rowOff>152400</xdr:rowOff>
    </xdr:to>
    <xdr:sp macro="" textlink="">
      <xdr:nvSpPr>
        <xdr:cNvPr id="5478" name="Объект 7"/>
        <xdr:cNvSpPr>
          <a:spLocks/>
        </xdr:cNvSpPr>
      </xdr:nvSpPr>
      <xdr:spPr bwMode="auto">
        <a:xfrm>
          <a:off x="3181350" y="198120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92</xdr:row>
      <xdr:rowOff>76200</xdr:rowOff>
    </xdr:from>
    <xdr:to>
      <xdr:col>3</xdr:col>
      <xdr:colOff>104775</xdr:colOff>
      <xdr:row>92</xdr:row>
      <xdr:rowOff>123825</xdr:rowOff>
    </xdr:to>
    <xdr:sp macro="" textlink="">
      <xdr:nvSpPr>
        <xdr:cNvPr id="5479" name="Объект 8"/>
        <xdr:cNvSpPr>
          <a:spLocks/>
        </xdr:cNvSpPr>
      </xdr:nvSpPr>
      <xdr:spPr bwMode="auto">
        <a:xfrm>
          <a:off x="2619375" y="199929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619125</xdr:colOff>
      <xdr:row>92</xdr:row>
      <xdr:rowOff>95250</xdr:rowOff>
    </xdr:from>
    <xdr:to>
      <xdr:col>3</xdr:col>
      <xdr:colOff>685800</xdr:colOff>
      <xdr:row>92</xdr:row>
      <xdr:rowOff>142875</xdr:rowOff>
    </xdr:to>
    <xdr:sp macro="" textlink="">
      <xdr:nvSpPr>
        <xdr:cNvPr id="5480" name="Объект 8"/>
        <xdr:cNvSpPr>
          <a:spLocks/>
        </xdr:cNvSpPr>
      </xdr:nvSpPr>
      <xdr:spPr bwMode="auto">
        <a:xfrm>
          <a:off x="3200400" y="200120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58</xdr:row>
      <xdr:rowOff>104775</xdr:rowOff>
    </xdr:from>
    <xdr:to>
      <xdr:col>3</xdr:col>
      <xdr:colOff>85725</xdr:colOff>
      <xdr:row>58</xdr:row>
      <xdr:rowOff>152400</xdr:rowOff>
    </xdr:to>
    <xdr:sp macro="" textlink="">
      <xdr:nvSpPr>
        <xdr:cNvPr id="6305" name="Объект 5"/>
        <xdr:cNvSpPr>
          <a:spLocks/>
        </xdr:cNvSpPr>
      </xdr:nvSpPr>
      <xdr:spPr bwMode="auto">
        <a:xfrm>
          <a:off x="2600325" y="125253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58</xdr:row>
      <xdr:rowOff>104775</xdr:rowOff>
    </xdr:from>
    <xdr:to>
      <xdr:col>3</xdr:col>
      <xdr:colOff>666750</xdr:colOff>
      <xdr:row>58</xdr:row>
      <xdr:rowOff>152400</xdr:rowOff>
    </xdr:to>
    <xdr:sp macro="" textlink="">
      <xdr:nvSpPr>
        <xdr:cNvPr id="6306" name="Объект 7"/>
        <xdr:cNvSpPr>
          <a:spLocks/>
        </xdr:cNvSpPr>
      </xdr:nvSpPr>
      <xdr:spPr bwMode="auto">
        <a:xfrm>
          <a:off x="3181350" y="125253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59</xdr:row>
      <xdr:rowOff>114300</xdr:rowOff>
    </xdr:from>
    <xdr:to>
      <xdr:col>3</xdr:col>
      <xdr:colOff>85725</xdr:colOff>
      <xdr:row>59</xdr:row>
      <xdr:rowOff>161925</xdr:rowOff>
    </xdr:to>
    <xdr:sp macro="" textlink="">
      <xdr:nvSpPr>
        <xdr:cNvPr id="6307" name="Объект 8"/>
        <xdr:cNvSpPr>
          <a:spLocks/>
        </xdr:cNvSpPr>
      </xdr:nvSpPr>
      <xdr:spPr bwMode="auto">
        <a:xfrm>
          <a:off x="2600325" y="127444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609600</xdr:colOff>
      <xdr:row>59</xdr:row>
      <xdr:rowOff>114300</xdr:rowOff>
    </xdr:from>
    <xdr:to>
      <xdr:col>3</xdr:col>
      <xdr:colOff>676275</xdr:colOff>
      <xdr:row>59</xdr:row>
      <xdr:rowOff>161925</xdr:rowOff>
    </xdr:to>
    <xdr:sp macro="" textlink="">
      <xdr:nvSpPr>
        <xdr:cNvPr id="6308" name="Объект 8"/>
        <xdr:cNvSpPr>
          <a:spLocks/>
        </xdr:cNvSpPr>
      </xdr:nvSpPr>
      <xdr:spPr bwMode="auto">
        <a:xfrm>
          <a:off x="3190875" y="127444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63</xdr:row>
      <xdr:rowOff>76200</xdr:rowOff>
    </xdr:from>
    <xdr:to>
      <xdr:col>3</xdr:col>
      <xdr:colOff>85725</xdr:colOff>
      <xdr:row>63</xdr:row>
      <xdr:rowOff>123825</xdr:rowOff>
    </xdr:to>
    <xdr:sp macro="" textlink="">
      <xdr:nvSpPr>
        <xdr:cNvPr id="6309" name="Объект 5"/>
        <xdr:cNvSpPr>
          <a:spLocks/>
        </xdr:cNvSpPr>
      </xdr:nvSpPr>
      <xdr:spPr bwMode="auto">
        <a:xfrm>
          <a:off x="2600325" y="135445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63</xdr:row>
      <xdr:rowOff>104775</xdr:rowOff>
    </xdr:from>
    <xdr:to>
      <xdr:col>3</xdr:col>
      <xdr:colOff>666750</xdr:colOff>
      <xdr:row>63</xdr:row>
      <xdr:rowOff>152400</xdr:rowOff>
    </xdr:to>
    <xdr:sp macro="" textlink="">
      <xdr:nvSpPr>
        <xdr:cNvPr id="6310" name="Объект 7"/>
        <xdr:cNvSpPr>
          <a:spLocks/>
        </xdr:cNvSpPr>
      </xdr:nvSpPr>
      <xdr:spPr bwMode="auto">
        <a:xfrm>
          <a:off x="3181350" y="135731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64</xdr:row>
      <xdr:rowOff>76200</xdr:rowOff>
    </xdr:from>
    <xdr:to>
      <xdr:col>3</xdr:col>
      <xdr:colOff>104775</xdr:colOff>
      <xdr:row>64</xdr:row>
      <xdr:rowOff>123825</xdr:rowOff>
    </xdr:to>
    <xdr:sp macro="" textlink="">
      <xdr:nvSpPr>
        <xdr:cNvPr id="6311" name="Объект 8"/>
        <xdr:cNvSpPr>
          <a:spLocks/>
        </xdr:cNvSpPr>
      </xdr:nvSpPr>
      <xdr:spPr bwMode="auto">
        <a:xfrm>
          <a:off x="2619375" y="137541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619125</xdr:colOff>
      <xdr:row>64</xdr:row>
      <xdr:rowOff>95250</xdr:rowOff>
    </xdr:from>
    <xdr:to>
      <xdr:col>3</xdr:col>
      <xdr:colOff>685800</xdr:colOff>
      <xdr:row>64</xdr:row>
      <xdr:rowOff>142875</xdr:rowOff>
    </xdr:to>
    <xdr:sp macro="" textlink="">
      <xdr:nvSpPr>
        <xdr:cNvPr id="6312" name="Объект 8"/>
        <xdr:cNvSpPr>
          <a:spLocks/>
        </xdr:cNvSpPr>
      </xdr:nvSpPr>
      <xdr:spPr bwMode="auto">
        <a:xfrm>
          <a:off x="3200400" y="137731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70</xdr:row>
      <xdr:rowOff>0</xdr:rowOff>
    </xdr:from>
    <xdr:to>
      <xdr:col>3</xdr:col>
      <xdr:colOff>85725</xdr:colOff>
      <xdr:row>70</xdr:row>
      <xdr:rowOff>0</xdr:rowOff>
    </xdr:to>
    <xdr:sp macro="" textlink="">
      <xdr:nvSpPr>
        <xdr:cNvPr id="6313" name="Объект 5"/>
        <xdr:cNvSpPr>
          <a:spLocks/>
        </xdr:cNvSpPr>
      </xdr:nvSpPr>
      <xdr:spPr bwMode="auto">
        <a:xfrm>
          <a:off x="2600325" y="149352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70</xdr:row>
      <xdr:rowOff>0</xdr:rowOff>
    </xdr:from>
    <xdr:to>
      <xdr:col>4</xdr:col>
      <xdr:colOff>123825</xdr:colOff>
      <xdr:row>70</xdr:row>
      <xdr:rowOff>0</xdr:rowOff>
    </xdr:to>
    <xdr:sp macro="" textlink="">
      <xdr:nvSpPr>
        <xdr:cNvPr id="6314" name="Объект 7"/>
        <xdr:cNvSpPr>
          <a:spLocks/>
        </xdr:cNvSpPr>
      </xdr:nvSpPr>
      <xdr:spPr bwMode="auto">
        <a:xfrm>
          <a:off x="3448050" y="149352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70</xdr:row>
      <xdr:rowOff>0</xdr:rowOff>
    </xdr:from>
    <xdr:to>
      <xdr:col>3</xdr:col>
      <xdr:colOff>104775</xdr:colOff>
      <xdr:row>70</xdr:row>
      <xdr:rowOff>0</xdr:rowOff>
    </xdr:to>
    <xdr:sp macro="" textlink="">
      <xdr:nvSpPr>
        <xdr:cNvPr id="6315" name="Объект 8"/>
        <xdr:cNvSpPr>
          <a:spLocks/>
        </xdr:cNvSpPr>
      </xdr:nvSpPr>
      <xdr:spPr bwMode="auto">
        <a:xfrm>
          <a:off x="2619375" y="149352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70</xdr:row>
      <xdr:rowOff>0</xdr:rowOff>
    </xdr:from>
    <xdr:to>
      <xdr:col>4</xdr:col>
      <xdr:colOff>152400</xdr:colOff>
      <xdr:row>70</xdr:row>
      <xdr:rowOff>0</xdr:rowOff>
    </xdr:to>
    <xdr:sp macro="" textlink="">
      <xdr:nvSpPr>
        <xdr:cNvPr id="6316" name="Объект 8"/>
        <xdr:cNvSpPr>
          <a:spLocks/>
        </xdr:cNvSpPr>
      </xdr:nvSpPr>
      <xdr:spPr bwMode="auto">
        <a:xfrm>
          <a:off x="3476625" y="149352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128</xdr:row>
      <xdr:rowOff>104775</xdr:rowOff>
    </xdr:from>
    <xdr:to>
      <xdr:col>3</xdr:col>
      <xdr:colOff>85725</xdr:colOff>
      <xdr:row>128</xdr:row>
      <xdr:rowOff>152400</xdr:rowOff>
    </xdr:to>
    <xdr:sp macro="" textlink="">
      <xdr:nvSpPr>
        <xdr:cNvPr id="6317" name="Объект 5"/>
        <xdr:cNvSpPr>
          <a:spLocks/>
        </xdr:cNvSpPr>
      </xdr:nvSpPr>
      <xdr:spPr bwMode="auto">
        <a:xfrm>
          <a:off x="2600325" y="273653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128</xdr:row>
      <xdr:rowOff>104775</xdr:rowOff>
    </xdr:from>
    <xdr:to>
      <xdr:col>3</xdr:col>
      <xdr:colOff>666750</xdr:colOff>
      <xdr:row>128</xdr:row>
      <xdr:rowOff>152400</xdr:rowOff>
    </xdr:to>
    <xdr:sp macro="" textlink="">
      <xdr:nvSpPr>
        <xdr:cNvPr id="6318" name="Объект 7"/>
        <xdr:cNvSpPr>
          <a:spLocks/>
        </xdr:cNvSpPr>
      </xdr:nvSpPr>
      <xdr:spPr bwMode="auto">
        <a:xfrm>
          <a:off x="3181350" y="273653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129</xdr:row>
      <xdr:rowOff>114300</xdr:rowOff>
    </xdr:from>
    <xdr:to>
      <xdr:col>3</xdr:col>
      <xdr:colOff>85725</xdr:colOff>
      <xdr:row>129</xdr:row>
      <xdr:rowOff>161925</xdr:rowOff>
    </xdr:to>
    <xdr:sp macro="" textlink="">
      <xdr:nvSpPr>
        <xdr:cNvPr id="6319" name="Объект 8"/>
        <xdr:cNvSpPr>
          <a:spLocks/>
        </xdr:cNvSpPr>
      </xdr:nvSpPr>
      <xdr:spPr bwMode="auto">
        <a:xfrm>
          <a:off x="2600325" y="275844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609600</xdr:colOff>
      <xdr:row>129</xdr:row>
      <xdr:rowOff>114300</xdr:rowOff>
    </xdr:from>
    <xdr:to>
      <xdr:col>3</xdr:col>
      <xdr:colOff>676275</xdr:colOff>
      <xdr:row>129</xdr:row>
      <xdr:rowOff>161925</xdr:rowOff>
    </xdr:to>
    <xdr:sp macro="" textlink="">
      <xdr:nvSpPr>
        <xdr:cNvPr id="6320" name="Объект 8"/>
        <xdr:cNvSpPr>
          <a:spLocks/>
        </xdr:cNvSpPr>
      </xdr:nvSpPr>
      <xdr:spPr bwMode="auto">
        <a:xfrm>
          <a:off x="3190875" y="275844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133</xdr:row>
      <xdr:rowOff>76200</xdr:rowOff>
    </xdr:from>
    <xdr:to>
      <xdr:col>3</xdr:col>
      <xdr:colOff>85725</xdr:colOff>
      <xdr:row>133</xdr:row>
      <xdr:rowOff>123825</xdr:rowOff>
    </xdr:to>
    <xdr:sp macro="" textlink="">
      <xdr:nvSpPr>
        <xdr:cNvPr id="6321" name="Объект 5"/>
        <xdr:cNvSpPr>
          <a:spLocks/>
        </xdr:cNvSpPr>
      </xdr:nvSpPr>
      <xdr:spPr bwMode="auto">
        <a:xfrm>
          <a:off x="2600325" y="283845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133</xdr:row>
      <xdr:rowOff>104775</xdr:rowOff>
    </xdr:from>
    <xdr:to>
      <xdr:col>3</xdr:col>
      <xdr:colOff>666750</xdr:colOff>
      <xdr:row>133</xdr:row>
      <xdr:rowOff>152400</xdr:rowOff>
    </xdr:to>
    <xdr:sp macro="" textlink="">
      <xdr:nvSpPr>
        <xdr:cNvPr id="6322" name="Объект 7"/>
        <xdr:cNvSpPr>
          <a:spLocks/>
        </xdr:cNvSpPr>
      </xdr:nvSpPr>
      <xdr:spPr bwMode="auto">
        <a:xfrm>
          <a:off x="3181350" y="284130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134</xdr:row>
      <xdr:rowOff>76200</xdr:rowOff>
    </xdr:from>
    <xdr:to>
      <xdr:col>3</xdr:col>
      <xdr:colOff>104775</xdr:colOff>
      <xdr:row>134</xdr:row>
      <xdr:rowOff>123825</xdr:rowOff>
    </xdr:to>
    <xdr:sp macro="" textlink="">
      <xdr:nvSpPr>
        <xdr:cNvPr id="6323" name="Объект 8"/>
        <xdr:cNvSpPr>
          <a:spLocks/>
        </xdr:cNvSpPr>
      </xdr:nvSpPr>
      <xdr:spPr bwMode="auto">
        <a:xfrm>
          <a:off x="2619375" y="285940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619125</xdr:colOff>
      <xdr:row>134</xdr:row>
      <xdr:rowOff>95250</xdr:rowOff>
    </xdr:from>
    <xdr:to>
      <xdr:col>3</xdr:col>
      <xdr:colOff>685800</xdr:colOff>
      <xdr:row>134</xdr:row>
      <xdr:rowOff>142875</xdr:rowOff>
    </xdr:to>
    <xdr:sp macro="" textlink="">
      <xdr:nvSpPr>
        <xdr:cNvPr id="6324" name="Объект 8"/>
        <xdr:cNvSpPr>
          <a:spLocks/>
        </xdr:cNvSpPr>
      </xdr:nvSpPr>
      <xdr:spPr bwMode="auto">
        <a:xfrm>
          <a:off x="3200400" y="286131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128</xdr:row>
      <xdr:rowOff>104775</xdr:rowOff>
    </xdr:from>
    <xdr:to>
      <xdr:col>3</xdr:col>
      <xdr:colOff>85725</xdr:colOff>
      <xdr:row>128</xdr:row>
      <xdr:rowOff>152400</xdr:rowOff>
    </xdr:to>
    <xdr:sp macro="" textlink="">
      <xdr:nvSpPr>
        <xdr:cNvPr id="6325" name="Объект 5"/>
        <xdr:cNvSpPr>
          <a:spLocks/>
        </xdr:cNvSpPr>
      </xdr:nvSpPr>
      <xdr:spPr bwMode="auto">
        <a:xfrm>
          <a:off x="2600325" y="273653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128</xdr:row>
      <xdr:rowOff>104775</xdr:rowOff>
    </xdr:from>
    <xdr:to>
      <xdr:col>3</xdr:col>
      <xdr:colOff>666750</xdr:colOff>
      <xdr:row>128</xdr:row>
      <xdr:rowOff>152400</xdr:rowOff>
    </xdr:to>
    <xdr:sp macro="" textlink="">
      <xdr:nvSpPr>
        <xdr:cNvPr id="6326" name="Объект 7"/>
        <xdr:cNvSpPr>
          <a:spLocks/>
        </xdr:cNvSpPr>
      </xdr:nvSpPr>
      <xdr:spPr bwMode="auto">
        <a:xfrm>
          <a:off x="3181350" y="273653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129</xdr:row>
      <xdr:rowOff>114300</xdr:rowOff>
    </xdr:from>
    <xdr:to>
      <xdr:col>3</xdr:col>
      <xdr:colOff>85725</xdr:colOff>
      <xdr:row>129</xdr:row>
      <xdr:rowOff>161925</xdr:rowOff>
    </xdr:to>
    <xdr:sp macro="" textlink="">
      <xdr:nvSpPr>
        <xdr:cNvPr id="6327" name="Объект 8"/>
        <xdr:cNvSpPr>
          <a:spLocks/>
        </xdr:cNvSpPr>
      </xdr:nvSpPr>
      <xdr:spPr bwMode="auto">
        <a:xfrm>
          <a:off x="2600325" y="275844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609600</xdr:colOff>
      <xdr:row>129</xdr:row>
      <xdr:rowOff>114300</xdr:rowOff>
    </xdr:from>
    <xdr:to>
      <xdr:col>3</xdr:col>
      <xdr:colOff>676275</xdr:colOff>
      <xdr:row>129</xdr:row>
      <xdr:rowOff>161925</xdr:rowOff>
    </xdr:to>
    <xdr:sp macro="" textlink="">
      <xdr:nvSpPr>
        <xdr:cNvPr id="6328" name="Объект 8"/>
        <xdr:cNvSpPr>
          <a:spLocks/>
        </xdr:cNvSpPr>
      </xdr:nvSpPr>
      <xdr:spPr bwMode="auto">
        <a:xfrm>
          <a:off x="3190875" y="275844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133</xdr:row>
      <xdr:rowOff>76200</xdr:rowOff>
    </xdr:from>
    <xdr:to>
      <xdr:col>3</xdr:col>
      <xdr:colOff>85725</xdr:colOff>
      <xdr:row>133</xdr:row>
      <xdr:rowOff>123825</xdr:rowOff>
    </xdr:to>
    <xdr:sp macro="" textlink="">
      <xdr:nvSpPr>
        <xdr:cNvPr id="6329" name="Объект 5"/>
        <xdr:cNvSpPr>
          <a:spLocks/>
        </xdr:cNvSpPr>
      </xdr:nvSpPr>
      <xdr:spPr bwMode="auto">
        <a:xfrm>
          <a:off x="2600325" y="283845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133</xdr:row>
      <xdr:rowOff>104775</xdr:rowOff>
    </xdr:from>
    <xdr:to>
      <xdr:col>3</xdr:col>
      <xdr:colOff>666750</xdr:colOff>
      <xdr:row>133</xdr:row>
      <xdr:rowOff>152400</xdr:rowOff>
    </xdr:to>
    <xdr:sp macro="" textlink="">
      <xdr:nvSpPr>
        <xdr:cNvPr id="6330" name="Объект 7"/>
        <xdr:cNvSpPr>
          <a:spLocks/>
        </xdr:cNvSpPr>
      </xdr:nvSpPr>
      <xdr:spPr bwMode="auto">
        <a:xfrm>
          <a:off x="3181350" y="284130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134</xdr:row>
      <xdr:rowOff>76200</xdr:rowOff>
    </xdr:from>
    <xdr:to>
      <xdr:col>3</xdr:col>
      <xdr:colOff>104775</xdr:colOff>
      <xdr:row>134</xdr:row>
      <xdr:rowOff>123825</xdr:rowOff>
    </xdr:to>
    <xdr:sp macro="" textlink="">
      <xdr:nvSpPr>
        <xdr:cNvPr id="6331" name="Объект 8"/>
        <xdr:cNvSpPr>
          <a:spLocks/>
        </xdr:cNvSpPr>
      </xdr:nvSpPr>
      <xdr:spPr bwMode="auto">
        <a:xfrm>
          <a:off x="2619375" y="285940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619125</xdr:colOff>
      <xdr:row>134</xdr:row>
      <xdr:rowOff>95250</xdr:rowOff>
    </xdr:from>
    <xdr:to>
      <xdr:col>3</xdr:col>
      <xdr:colOff>685800</xdr:colOff>
      <xdr:row>134</xdr:row>
      <xdr:rowOff>142875</xdr:rowOff>
    </xdr:to>
    <xdr:sp macro="" textlink="">
      <xdr:nvSpPr>
        <xdr:cNvPr id="6332" name="Объект 8"/>
        <xdr:cNvSpPr>
          <a:spLocks/>
        </xdr:cNvSpPr>
      </xdr:nvSpPr>
      <xdr:spPr bwMode="auto">
        <a:xfrm>
          <a:off x="3200400" y="286131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140</xdr:row>
      <xdr:rowOff>0</xdr:rowOff>
    </xdr:from>
    <xdr:to>
      <xdr:col>3</xdr:col>
      <xdr:colOff>85725</xdr:colOff>
      <xdr:row>140</xdr:row>
      <xdr:rowOff>0</xdr:rowOff>
    </xdr:to>
    <xdr:sp macro="" textlink="">
      <xdr:nvSpPr>
        <xdr:cNvPr id="6333" name="Объект 5"/>
        <xdr:cNvSpPr>
          <a:spLocks/>
        </xdr:cNvSpPr>
      </xdr:nvSpPr>
      <xdr:spPr bwMode="auto">
        <a:xfrm>
          <a:off x="2600325" y="297751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140</xdr:row>
      <xdr:rowOff>0</xdr:rowOff>
    </xdr:from>
    <xdr:to>
      <xdr:col>4</xdr:col>
      <xdr:colOff>123825</xdr:colOff>
      <xdr:row>140</xdr:row>
      <xdr:rowOff>0</xdr:rowOff>
    </xdr:to>
    <xdr:sp macro="" textlink="">
      <xdr:nvSpPr>
        <xdr:cNvPr id="6334" name="Объект 7"/>
        <xdr:cNvSpPr>
          <a:spLocks/>
        </xdr:cNvSpPr>
      </xdr:nvSpPr>
      <xdr:spPr bwMode="auto">
        <a:xfrm>
          <a:off x="3448050" y="297751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140</xdr:row>
      <xdr:rowOff>0</xdr:rowOff>
    </xdr:from>
    <xdr:to>
      <xdr:col>3</xdr:col>
      <xdr:colOff>104775</xdr:colOff>
      <xdr:row>140</xdr:row>
      <xdr:rowOff>0</xdr:rowOff>
    </xdr:to>
    <xdr:sp macro="" textlink="">
      <xdr:nvSpPr>
        <xdr:cNvPr id="6335" name="Объект 8"/>
        <xdr:cNvSpPr>
          <a:spLocks/>
        </xdr:cNvSpPr>
      </xdr:nvSpPr>
      <xdr:spPr bwMode="auto">
        <a:xfrm>
          <a:off x="2619375" y="297751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140</xdr:row>
      <xdr:rowOff>0</xdr:rowOff>
    </xdr:from>
    <xdr:to>
      <xdr:col>4</xdr:col>
      <xdr:colOff>152400</xdr:colOff>
      <xdr:row>140</xdr:row>
      <xdr:rowOff>0</xdr:rowOff>
    </xdr:to>
    <xdr:sp macro="" textlink="">
      <xdr:nvSpPr>
        <xdr:cNvPr id="6336" name="Объект 8"/>
        <xdr:cNvSpPr>
          <a:spLocks/>
        </xdr:cNvSpPr>
      </xdr:nvSpPr>
      <xdr:spPr bwMode="auto">
        <a:xfrm>
          <a:off x="3476625" y="297751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29</xdr:row>
      <xdr:rowOff>0</xdr:rowOff>
    </xdr:from>
    <xdr:to>
      <xdr:col>3</xdr:col>
      <xdr:colOff>85725</xdr:colOff>
      <xdr:row>29</xdr:row>
      <xdr:rowOff>0</xdr:rowOff>
    </xdr:to>
    <xdr:sp macro="" textlink="">
      <xdr:nvSpPr>
        <xdr:cNvPr id="8225" name="Объект 5"/>
        <xdr:cNvSpPr>
          <a:spLocks/>
        </xdr:cNvSpPr>
      </xdr:nvSpPr>
      <xdr:spPr bwMode="auto">
        <a:xfrm>
          <a:off x="2733675" y="70104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29</xdr:row>
      <xdr:rowOff>0</xdr:rowOff>
    </xdr:from>
    <xdr:to>
      <xdr:col>4</xdr:col>
      <xdr:colOff>123825</xdr:colOff>
      <xdr:row>29</xdr:row>
      <xdr:rowOff>0</xdr:rowOff>
    </xdr:to>
    <xdr:sp macro="" textlink="">
      <xdr:nvSpPr>
        <xdr:cNvPr id="8226" name="Объект 7"/>
        <xdr:cNvSpPr>
          <a:spLocks/>
        </xdr:cNvSpPr>
      </xdr:nvSpPr>
      <xdr:spPr bwMode="auto">
        <a:xfrm>
          <a:off x="3314700" y="70104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29</xdr:row>
      <xdr:rowOff>0</xdr:rowOff>
    </xdr:from>
    <xdr:to>
      <xdr:col>3</xdr:col>
      <xdr:colOff>104775</xdr:colOff>
      <xdr:row>29</xdr:row>
      <xdr:rowOff>0</xdr:rowOff>
    </xdr:to>
    <xdr:sp macro="" textlink="">
      <xdr:nvSpPr>
        <xdr:cNvPr id="8227" name="Объект 8"/>
        <xdr:cNvSpPr>
          <a:spLocks/>
        </xdr:cNvSpPr>
      </xdr:nvSpPr>
      <xdr:spPr bwMode="auto">
        <a:xfrm>
          <a:off x="2752725" y="70104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29</xdr:row>
      <xdr:rowOff>0</xdr:rowOff>
    </xdr:from>
    <xdr:to>
      <xdr:col>4</xdr:col>
      <xdr:colOff>152400</xdr:colOff>
      <xdr:row>29</xdr:row>
      <xdr:rowOff>0</xdr:rowOff>
    </xdr:to>
    <xdr:sp macro="" textlink="">
      <xdr:nvSpPr>
        <xdr:cNvPr id="8228" name="Объект 8"/>
        <xdr:cNvSpPr>
          <a:spLocks/>
        </xdr:cNvSpPr>
      </xdr:nvSpPr>
      <xdr:spPr bwMode="auto">
        <a:xfrm>
          <a:off x="3343275" y="70104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31</xdr:row>
      <xdr:rowOff>0</xdr:rowOff>
    </xdr:from>
    <xdr:to>
      <xdr:col>3</xdr:col>
      <xdr:colOff>85725</xdr:colOff>
      <xdr:row>31</xdr:row>
      <xdr:rowOff>0</xdr:rowOff>
    </xdr:to>
    <xdr:sp macro="" textlink="">
      <xdr:nvSpPr>
        <xdr:cNvPr id="8229" name="Объект 5"/>
        <xdr:cNvSpPr>
          <a:spLocks/>
        </xdr:cNvSpPr>
      </xdr:nvSpPr>
      <xdr:spPr bwMode="auto">
        <a:xfrm>
          <a:off x="2733675" y="70104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31</xdr:row>
      <xdr:rowOff>0</xdr:rowOff>
    </xdr:from>
    <xdr:to>
      <xdr:col>4</xdr:col>
      <xdr:colOff>123825</xdr:colOff>
      <xdr:row>31</xdr:row>
      <xdr:rowOff>0</xdr:rowOff>
    </xdr:to>
    <xdr:sp macro="" textlink="">
      <xdr:nvSpPr>
        <xdr:cNvPr id="8230" name="Объект 7"/>
        <xdr:cNvSpPr>
          <a:spLocks/>
        </xdr:cNvSpPr>
      </xdr:nvSpPr>
      <xdr:spPr bwMode="auto">
        <a:xfrm>
          <a:off x="3314700" y="70104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31</xdr:row>
      <xdr:rowOff>0</xdr:rowOff>
    </xdr:from>
    <xdr:to>
      <xdr:col>3</xdr:col>
      <xdr:colOff>104775</xdr:colOff>
      <xdr:row>31</xdr:row>
      <xdr:rowOff>0</xdr:rowOff>
    </xdr:to>
    <xdr:sp macro="" textlink="">
      <xdr:nvSpPr>
        <xdr:cNvPr id="8231" name="Объект 8"/>
        <xdr:cNvSpPr>
          <a:spLocks/>
        </xdr:cNvSpPr>
      </xdr:nvSpPr>
      <xdr:spPr bwMode="auto">
        <a:xfrm>
          <a:off x="2752725" y="70104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31</xdr:row>
      <xdr:rowOff>0</xdr:rowOff>
    </xdr:from>
    <xdr:to>
      <xdr:col>4</xdr:col>
      <xdr:colOff>152400</xdr:colOff>
      <xdr:row>31</xdr:row>
      <xdr:rowOff>0</xdr:rowOff>
    </xdr:to>
    <xdr:sp macro="" textlink="">
      <xdr:nvSpPr>
        <xdr:cNvPr id="8232" name="Объект 8"/>
        <xdr:cNvSpPr>
          <a:spLocks/>
        </xdr:cNvSpPr>
      </xdr:nvSpPr>
      <xdr:spPr bwMode="auto">
        <a:xfrm>
          <a:off x="3343275" y="70104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23</xdr:row>
      <xdr:rowOff>76200</xdr:rowOff>
    </xdr:from>
    <xdr:to>
      <xdr:col>3</xdr:col>
      <xdr:colOff>85725</xdr:colOff>
      <xdr:row>23</xdr:row>
      <xdr:rowOff>123825</xdr:rowOff>
    </xdr:to>
    <xdr:sp macro="" textlink="">
      <xdr:nvSpPr>
        <xdr:cNvPr id="8233" name="Объект 5"/>
        <xdr:cNvSpPr>
          <a:spLocks/>
        </xdr:cNvSpPr>
      </xdr:nvSpPr>
      <xdr:spPr bwMode="auto">
        <a:xfrm>
          <a:off x="2733675" y="58293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</xdr:row>
      <xdr:rowOff>76200</xdr:rowOff>
    </xdr:from>
    <xdr:to>
      <xdr:col>3</xdr:col>
      <xdr:colOff>104775</xdr:colOff>
      <xdr:row>24</xdr:row>
      <xdr:rowOff>123825</xdr:rowOff>
    </xdr:to>
    <xdr:sp macro="" textlink="">
      <xdr:nvSpPr>
        <xdr:cNvPr id="8234" name="Объект 8"/>
        <xdr:cNvSpPr>
          <a:spLocks/>
        </xdr:cNvSpPr>
      </xdr:nvSpPr>
      <xdr:spPr bwMode="auto">
        <a:xfrm>
          <a:off x="2752725" y="60388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45</xdr:row>
      <xdr:rowOff>76200</xdr:rowOff>
    </xdr:from>
    <xdr:to>
      <xdr:col>3</xdr:col>
      <xdr:colOff>85725</xdr:colOff>
      <xdr:row>45</xdr:row>
      <xdr:rowOff>123825</xdr:rowOff>
    </xdr:to>
    <xdr:sp macro="" textlink="">
      <xdr:nvSpPr>
        <xdr:cNvPr id="11325" name="Объект 5"/>
        <xdr:cNvSpPr>
          <a:spLocks/>
        </xdr:cNvSpPr>
      </xdr:nvSpPr>
      <xdr:spPr bwMode="auto">
        <a:xfrm>
          <a:off x="2847975" y="81248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45</xdr:row>
      <xdr:rowOff>76200</xdr:rowOff>
    </xdr:from>
    <xdr:to>
      <xdr:col>4</xdr:col>
      <xdr:colOff>123825</xdr:colOff>
      <xdr:row>45</xdr:row>
      <xdr:rowOff>123825</xdr:rowOff>
    </xdr:to>
    <xdr:sp macro="" textlink="">
      <xdr:nvSpPr>
        <xdr:cNvPr id="11326" name="Объект 7"/>
        <xdr:cNvSpPr>
          <a:spLocks/>
        </xdr:cNvSpPr>
      </xdr:nvSpPr>
      <xdr:spPr bwMode="auto">
        <a:xfrm>
          <a:off x="3362325" y="81248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46</xdr:row>
      <xdr:rowOff>76200</xdr:rowOff>
    </xdr:from>
    <xdr:to>
      <xdr:col>3</xdr:col>
      <xdr:colOff>104775</xdr:colOff>
      <xdr:row>46</xdr:row>
      <xdr:rowOff>123825</xdr:rowOff>
    </xdr:to>
    <xdr:sp macro="" textlink="">
      <xdr:nvSpPr>
        <xdr:cNvPr id="11327" name="Объект 8"/>
        <xdr:cNvSpPr>
          <a:spLocks/>
        </xdr:cNvSpPr>
      </xdr:nvSpPr>
      <xdr:spPr bwMode="auto">
        <a:xfrm>
          <a:off x="2867025" y="82867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46</xdr:row>
      <xdr:rowOff>66675</xdr:rowOff>
    </xdr:from>
    <xdr:to>
      <xdr:col>4</xdr:col>
      <xdr:colOff>152400</xdr:colOff>
      <xdr:row>46</xdr:row>
      <xdr:rowOff>114300</xdr:rowOff>
    </xdr:to>
    <xdr:sp macro="" textlink="">
      <xdr:nvSpPr>
        <xdr:cNvPr id="11328" name="Объект 8"/>
        <xdr:cNvSpPr>
          <a:spLocks/>
        </xdr:cNvSpPr>
      </xdr:nvSpPr>
      <xdr:spPr bwMode="auto">
        <a:xfrm>
          <a:off x="3390900" y="82772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49</xdr:row>
      <xdr:rowOff>76200</xdr:rowOff>
    </xdr:from>
    <xdr:to>
      <xdr:col>3</xdr:col>
      <xdr:colOff>85725</xdr:colOff>
      <xdr:row>49</xdr:row>
      <xdr:rowOff>123825</xdr:rowOff>
    </xdr:to>
    <xdr:sp macro="" textlink="">
      <xdr:nvSpPr>
        <xdr:cNvPr id="11329" name="Объект 5"/>
        <xdr:cNvSpPr>
          <a:spLocks/>
        </xdr:cNvSpPr>
      </xdr:nvSpPr>
      <xdr:spPr bwMode="auto">
        <a:xfrm>
          <a:off x="2847975" y="88011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49</xdr:row>
      <xdr:rowOff>76200</xdr:rowOff>
    </xdr:from>
    <xdr:to>
      <xdr:col>4</xdr:col>
      <xdr:colOff>123825</xdr:colOff>
      <xdr:row>49</xdr:row>
      <xdr:rowOff>123825</xdr:rowOff>
    </xdr:to>
    <xdr:sp macro="" textlink="">
      <xdr:nvSpPr>
        <xdr:cNvPr id="11330" name="Объект 7"/>
        <xdr:cNvSpPr>
          <a:spLocks/>
        </xdr:cNvSpPr>
      </xdr:nvSpPr>
      <xdr:spPr bwMode="auto">
        <a:xfrm>
          <a:off x="3362325" y="88011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50</xdr:row>
      <xdr:rowOff>76200</xdr:rowOff>
    </xdr:from>
    <xdr:to>
      <xdr:col>3</xdr:col>
      <xdr:colOff>104775</xdr:colOff>
      <xdr:row>50</xdr:row>
      <xdr:rowOff>123825</xdr:rowOff>
    </xdr:to>
    <xdr:sp macro="" textlink="">
      <xdr:nvSpPr>
        <xdr:cNvPr id="11331" name="Объект 8"/>
        <xdr:cNvSpPr>
          <a:spLocks/>
        </xdr:cNvSpPr>
      </xdr:nvSpPr>
      <xdr:spPr bwMode="auto">
        <a:xfrm>
          <a:off x="2867025" y="89630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50</xdr:row>
      <xdr:rowOff>66675</xdr:rowOff>
    </xdr:from>
    <xdr:to>
      <xdr:col>4</xdr:col>
      <xdr:colOff>152400</xdr:colOff>
      <xdr:row>50</xdr:row>
      <xdr:rowOff>114300</xdr:rowOff>
    </xdr:to>
    <xdr:sp macro="" textlink="">
      <xdr:nvSpPr>
        <xdr:cNvPr id="11332" name="Объект 8"/>
        <xdr:cNvSpPr>
          <a:spLocks/>
        </xdr:cNvSpPr>
      </xdr:nvSpPr>
      <xdr:spPr bwMode="auto">
        <a:xfrm>
          <a:off x="3390900" y="89535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55</xdr:row>
      <xdr:rowOff>0</xdr:rowOff>
    </xdr:from>
    <xdr:to>
      <xdr:col>3</xdr:col>
      <xdr:colOff>85725</xdr:colOff>
      <xdr:row>55</xdr:row>
      <xdr:rowOff>0</xdr:rowOff>
    </xdr:to>
    <xdr:sp macro="" textlink="">
      <xdr:nvSpPr>
        <xdr:cNvPr id="11333" name="Объект 5"/>
        <xdr:cNvSpPr>
          <a:spLocks/>
        </xdr:cNvSpPr>
      </xdr:nvSpPr>
      <xdr:spPr bwMode="auto">
        <a:xfrm>
          <a:off x="2847975" y="97440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55</xdr:row>
      <xdr:rowOff>0</xdr:rowOff>
    </xdr:from>
    <xdr:to>
      <xdr:col>4</xdr:col>
      <xdr:colOff>123825</xdr:colOff>
      <xdr:row>55</xdr:row>
      <xdr:rowOff>0</xdr:rowOff>
    </xdr:to>
    <xdr:sp macro="" textlink="">
      <xdr:nvSpPr>
        <xdr:cNvPr id="11334" name="Объект 7"/>
        <xdr:cNvSpPr>
          <a:spLocks/>
        </xdr:cNvSpPr>
      </xdr:nvSpPr>
      <xdr:spPr bwMode="auto">
        <a:xfrm>
          <a:off x="3362325" y="97440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55</xdr:row>
      <xdr:rowOff>0</xdr:rowOff>
    </xdr:from>
    <xdr:to>
      <xdr:col>3</xdr:col>
      <xdr:colOff>104775</xdr:colOff>
      <xdr:row>55</xdr:row>
      <xdr:rowOff>0</xdr:rowOff>
    </xdr:to>
    <xdr:sp macro="" textlink="">
      <xdr:nvSpPr>
        <xdr:cNvPr id="11335" name="Объект 8"/>
        <xdr:cNvSpPr>
          <a:spLocks/>
        </xdr:cNvSpPr>
      </xdr:nvSpPr>
      <xdr:spPr bwMode="auto">
        <a:xfrm>
          <a:off x="2867025" y="97440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55</xdr:row>
      <xdr:rowOff>0</xdr:rowOff>
    </xdr:from>
    <xdr:to>
      <xdr:col>4</xdr:col>
      <xdr:colOff>152400</xdr:colOff>
      <xdr:row>55</xdr:row>
      <xdr:rowOff>0</xdr:rowOff>
    </xdr:to>
    <xdr:sp macro="" textlink="">
      <xdr:nvSpPr>
        <xdr:cNvPr id="11336" name="Объект 8"/>
        <xdr:cNvSpPr>
          <a:spLocks/>
        </xdr:cNvSpPr>
      </xdr:nvSpPr>
      <xdr:spPr bwMode="auto">
        <a:xfrm>
          <a:off x="3390900" y="97440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45</xdr:row>
      <xdr:rowOff>76200</xdr:rowOff>
    </xdr:from>
    <xdr:to>
      <xdr:col>3</xdr:col>
      <xdr:colOff>85725</xdr:colOff>
      <xdr:row>45</xdr:row>
      <xdr:rowOff>123825</xdr:rowOff>
    </xdr:to>
    <xdr:sp macro="" textlink="">
      <xdr:nvSpPr>
        <xdr:cNvPr id="11337" name="Объект 5"/>
        <xdr:cNvSpPr>
          <a:spLocks/>
        </xdr:cNvSpPr>
      </xdr:nvSpPr>
      <xdr:spPr bwMode="auto">
        <a:xfrm>
          <a:off x="2847975" y="81248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45</xdr:row>
      <xdr:rowOff>76200</xdr:rowOff>
    </xdr:from>
    <xdr:to>
      <xdr:col>4</xdr:col>
      <xdr:colOff>123825</xdr:colOff>
      <xdr:row>45</xdr:row>
      <xdr:rowOff>123825</xdr:rowOff>
    </xdr:to>
    <xdr:sp macro="" textlink="">
      <xdr:nvSpPr>
        <xdr:cNvPr id="11338" name="Объект 7"/>
        <xdr:cNvSpPr>
          <a:spLocks/>
        </xdr:cNvSpPr>
      </xdr:nvSpPr>
      <xdr:spPr bwMode="auto">
        <a:xfrm>
          <a:off x="3362325" y="81248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46</xdr:row>
      <xdr:rowOff>76200</xdr:rowOff>
    </xdr:from>
    <xdr:to>
      <xdr:col>3</xdr:col>
      <xdr:colOff>104775</xdr:colOff>
      <xdr:row>46</xdr:row>
      <xdr:rowOff>123825</xdr:rowOff>
    </xdr:to>
    <xdr:sp macro="" textlink="">
      <xdr:nvSpPr>
        <xdr:cNvPr id="11339" name="Объект 8"/>
        <xdr:cNvSpPr>
          <a:spLocks/>
        </xdr:cNvSpPr>
      </xdr:nvSpPr>
      <xdr:spPr bwMode="auto">
        <a:xfrm>
          <a:off x="2867025" y="82867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46</xdr:row>
      <xdr:rowOff>66675</xdr:rowOff>
    </xdr:from>
    <xdr:to>
      <xdr:col>4</xdr:col>
      <xdr:colOff>152400</xdr:colOff>
      <xdr:row>46</xdr:row>
      <xdr:rowOff>114300</xdr:rowOff>
    </xdr:to>
    <xdr:sp macro="" textlink="">
      <xdr:nvSpPr>
        <xdr:cNvPr id="11340" name="Объект 8"/>
        <xdr:cNvSpPr>
          <a:spLocks/>
        </xdr:cNvSpPr>
      </xdr:nvSpPr>
      <xdr:spPr bwMode="auto">
        <a:xfrm>
          <a:off x="3390900" y="82772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49</xdr:row>
      <xdr:rowOff>76200</xdr:rowOff>
    </xdr:from>
    <xdr:to>
      <xdr:col>3</xdr:col>
      <xdr:colOff>85725</xdr:colOff>
      <xdr:row>49</xdr:row>
      <xdr:rowOff>123825</xdr:rowOff>
    </xdr:to>
    <xdr:sp macro="" textlink="">
      <xdr:nvSpPr>
        <xdr:cNvPr id="11341" name="Объект 5"/>
        <xdr:cNvSpPr>
          <a:spLocks/>
        </xdr:cNvSpPr>
      </xdr:nvSpPr>
      <xdr:spPr bwMode="auto">
        <a:xfrm>
          <a:off x="2847975" y="88011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49</xdr:row>
      <xdr:rowOff>76200</xdr:rowOff>
    </xdr:from>
    <xdr:to>
      <xdr:col>4</xdr:col>
      <xdr:colOff>123825</xdr:colOff>
      <xdr:row>49</xdr:row>
      <xdr:rowOff>123825</xdr:rowOff>
    </xdr:to>
    <xdr:sp macro="" textlink="">
      <xdr:nvSpPr>
        <xdr:cNvPr id="11342" name="Объект 7"/>
        <xdr:cNvSpPr>
          <a:spLocks/>
        </xdr:cNvSpPr>
      </xdr:nvSpPr>
      <xdr:spPr bwMode="auto">
        <a:xfrm>
          <a:off x="3362325" y="88011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50</xdr:row>
      <xdr:rowOff>76200</xdr:rowOff>
    </xdr:from>
    <xdr:to>
      <xdr:col>3</xdr:col>
      <xdr:colOff>104775</xdr:colOff>
      <xdr:row>50</xdr:row>
      <xdr:rowOff>123825</xdr:rowOff>
    </xdr:to>
    <xdr:sp macro="" textlink="">
      <xdr:nvSpPr>
        <xdr:cNvPr id="11343" name="Объект 8"/>
        <xdr:cNvSpPr>
          <a:spLocks/>
        </xdr:cNvSpPr>
      </xdr:nvSpPr>
      <xdr:spPr bwMode="auto">
        <a:xfrm>
          <a:off x="2867025" y="89630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50</xdr:row>
      <xdr:rowOff>66675</xdr:rowOff>
    </xdr:from>
    <xdr:to>
      <xdr:col>4</xdr:col>
      <xdr:colOff>152400</xdr:colOff>
      <xdr:row>50</xdr:row>
      <xdr:rowOff>114300</xdr:rowOff>
    </xdr:to>
    <xdr:sp macro="" textlink="">
      <xdr:nvSpPr>
        <xdr:cNvPr id="11344" name="Объект 8"/>
        <xdr:cNvSpPr>
          <a:spLocks/>
        </xdr:cNvSpPr>
      </xdr:nvSpPr>
      <xdr:spPr bwMode="auto">
        <a:xfrm>
          <a:off x="3390900" y="89535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2</xdr:row>
      <xdr:rowOff>0</xdr:rowOff>
    </xdr:from>
    <xdr:to>
      <xdr:col>3</xdr:col>
      <xdr:colOff>85725</xdr:colOff>
      <xdr:row>2</xdr:row>
      <xdr:rowOff>0</xdr:rowOff>
    </xdr:to>
    <xdr:sp macro="" textlink="">
      <xdr:nvSpPr>
        <xdr:cNvPr id="9301" name="Объект 5"/>
        <xdr:cNvSpPr>
          <a:spLocks/>
        </xdr:cNvSpPr>
      </xdr:nvSpPr>
      <xdr:spPr bwMode="auto">
        <a:xfrm>
          <a:off x="1733550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0</xdr:rowOff>
    </xdr:from>
    <xdr:to>
      <xdr:col>4</xdr:col>
      <xdr:colOff>123825</xdr:colOff>
      <xdr:row>2</xdr:row>
      <xdr:rowOff>0</xdr:rowOff>
    </xdr:to>
    <xdr:sp macro="" textlink="">
      <xdr:nvSpPr>
        <xdr:cNvPr id="9302" name="Объект 7"/>
        <xdr:cNvSpPr>
          <a:spLocks/>
        </xdr:cNvSpPr>
      </xdr:nvSpPr>
      <xdr:spPr bwMode="auto">
        <a:xfrm>
          <a:off x="2171700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</xdr:row>
      <xdr:rowOff>0</xdr:rowOff>
    </xdr:from>
    <xdr:to>
      <xdr:col>3</xdr:col>
      <xdr:colOff>104775</xdr:colOff>
      <xdr:row>2</xdr:row>
      <xdr:rowOff>0</xdr:rowOff>
    </xdr:to>
    <xdr:sp macro="" textlink="">
      <xdr:nvSpPr>
        <xdr:cNvPr id="9303" name="Объект 8"/>
        <xdr:cNvSpPr>
          <a:spLocks/>
        </xdr:cNvSpPr>
      </xdr:nvSpPr>
      <xdr:spPr bwMode="auto">
        <a:xfrm>
          <a:off x="1752600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2</xdr:row>
      <xdr:rowOff>0</xdr:rowOff>
    </xdr:from>
    <xdr:to>
      <xdr:col>4</xdr:col>
      <xdr:colOff>152400</xdr:colOff>
      <xdr:row>2</xdr:row>
      <xdr:rowOff>0</xdr:rowOff>
    </xdr:to>
    <xdr:sp macro="" textlink="">
      <xdr:nvSpPr>
        <xdr:cNvPr id="9304" name="Объект 8"/>
        <xdr:cNvSpPr>
          <a:spLocks/>
        </xdr:cNvSpPr>
      </xdr:nvSpPr>
      <xdr:spPr bwMode="auto">
        <a:xfrm>
          <a:off x="2200275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</xdr:row>
      <xdr:rowOff>0</xdr:rowOff>
    </xdr:from>
    <xdr:to>
      <xdr:col>3</xdr:col>
      <xdr:colOff>85725</xdr:colOff>
      <xdr:row>2</xdr:row>
      <xdr:rowOff>0</xdr:rowOff>
    </xdr:to>
    <xdr:sp macro="" textlink="">
      <xdr:nvSpPr>
        <xdr:cNvPr id="9305" name="Объект 5"/>
        <xdr:cNvSpPr>
          <a:spLocks/>
        </xdr:cNvSpPr>
      </xdr:nvSpPr>
      <xdr:spPr bwMode="auto">
        <a:xfrm>
          <a:off x="1733550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0</xdr:rowOff>
    </xdr:from>
    <xdr:to>
      <xdr:col>4</xdr:col>
      <xdr:colOff>123825</xdr:colOff>
      <xdr:row>2</xdr:row>
      <xdr:rowOff>0</xdr:rowOff>
    </xdr:to>
    <xdr:sp macro="" textlink="">
      <xdr:nvSpPr>
        <xdr:cNvPr id="9306" name="Объект 7"/>
        <xdr:cNvSpPr>
          <a:spLocks/>
        </xdr:cNvSpPr>
      </xdr:nvSpPr>
      <xdr:spPr bwMode="auto">
        <a:xfrm>
          <a:off x="2171700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</xdr:row>
      <xdr:rowOff>0</xdr:rowOff>
    </xdr:from>
    <xdr:to>
      <xdr:col>3</xdr:col>
      <xdr:colOff>104775</xdr:colOff>
      <xdr:row>2</xdr:row>
      <xdr:rowOff>0</xdr:rowOff>
    </xdr:to>
    <xdr:sp macro="" textlink="">
      <xdr:nvSpPr>
        <xdr:cNvPr id="9307" name="Объект 8"/>
        <xdr:cNvSpPr>
          <a:spLocks/>
        </xdr:cNvSpPr>
      </xdr:nvSpPr>
      <xdr:spPr bwMode="auto">
        <a:xfrm>
          <a:off x="1752600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2</xdr:row>
      <xdr:rowOff>0</xdr:rowOff>
    </xdr:from>
    <xdr:to>
      <xdr:col>4</xdr:col>
      <xdr:colOff>152400</xdr:colOff>
      <xdr:row>2</xdr:row>
      <xdr:rowOff>0</xdr:rowOff>
    </xdr:to>
    <xdr:sp macro="" textlink="">
      <xdr:nvSpPr>
        <xdr:cNvPr id="9308" name="Объект 8"/>
        <xdr:cNvSpPr>
          <a:spLocks/>
        </xdr:cNvSpPr>
      </xdr:nvSpPr>
      <xdr:spPr bwMode="auto">
        <a:xfrm>
          <a:off x="2200275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</xdr:row>
      <xdr:rowOff>0</xdr:rowOff>
    </xdr:from>
    <xdr:to>
      <xdr:col>3</xdr:col>
      <xdr:colOff>85725</xdr:colOff>
      <xdr:row>2</xdr:row>
      <xdr:rowOff>0</xdr:rowOff>
    </xdr:to>
    <xdr:sp macro="" textlink="">
      <xdr:nvSpPr>
        <xdr:cNvPr id="9309" name="Объект 5"/>
        <xdr:cNvSpPr>
          <a:spLocks/>
        </xdr:cNvSpPr>
      </xdr:nvSpPr>
      <xdr:spPr bwMode="auto">
        <a:xfrm>
          <a:off x="1733550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0</xdr:rowOff>
    </xdr:from>
    <xdr:to>
      <xdr:col>4</xdr:col>
      <xdr:colOff>123825</xdr:colOff>
      <xdr:row>2</xdr:row>
      <xdr:rowOff>0</xdr:rowOff>
    </xdr:to>
    <xdr:sp macro="" textlink="">
      <xdr:nvSpPr>
        <xdr:cNvPr id="9310" name="Объект 7"/>
        <xdr:cNvSpPr>
          <a:spLocks/>
        </xdr:cNvSpPr>
      </xdr:nvSpPr>
      <xdr:spPr bwMode="auto">
        <a:xfrm>
          <a:off x="2171700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</xdr:row>
      <xdr:rowOff>0</xdr:rowOff>
    </xdr:from>
    <xdr:to>
      <xdr:col>3</xdr:col>
      <xdr:colOff>104775</xdr:colOff>
      <xdr:row>2</xdr:row>
      <xdr:rowOff>0</xdr:rowOff>
    </xdr:to>
    <xdr:sp macro="" textlink="">
      <xdr:nvSpPr>
        <xdr:cNvPr id="9311" name="Объект 8"/>
        <xdr:cNvSpPr>
          <a:spLocks/>
        </xdr:cNvSpPr>
      </xdr:nvSpPr>
      <xdr:spPr bwMode="auto">
        <a:xfrm>
          <a:off x="1752600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2</xdr:row>
      <xdr:rowOff>0</xdr:rowOff>
    </xdr:from>
    <xdr:to>
      <xdr:col>4</xdr:col>
      <xdr:colOff>152400</xdr:colOff>
      <xdr:row>2</xdr:row>
      <xdr:rowOff>0</xdr:rowOff>
    </xdr:to>
    <xdr:sp macro="" textlink="">
      <xdr:nvSpPr>
        <xdr:cNvPr id="9312" name="Объект 8"/>
        <xdr:cNvSpPr>
          <a:spLocks/>
        </xdr:cNvSpPr>
      </xdr:nvSpPr>
      <xdr:spPr bwMode="auto">
        <a:xfrm>
          <a:off x="2200275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</xdr:row>
      <xdr:rowOff>0</xdr:rowOff>
    </xdr:from>
    <xdr:to>
      <xdr:col>3</xdr:col>
      <xdr:colOff>85725</xdr:colOff>
      <xdr:row>2</xdr:row>
      <xdr:rowOff>0</xdr:rowOff>
    </xdr:to>
    <xdr:sp macro="" textlink="">
      <xdr:nvSpPr>
        <xdr:cNvPr id="9313" name="Объект 5"/>
        <xdr:cNvSpPr>
          <a:spLocks/>
        </xdr:cNvSpPr>
      </xdr:nvSpPr>
      <xdr:spPr bwMode="auto">
        <a:xfrm>
          <a:off x="1733550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0</xdr:rowOff>
    </xdr:from>
    <xdr:to>
      <xdr:col>4</xdr:col>
      <xdr:colOff>123825</xdr:colOff>
      <xdr:row>2</xdr:row>
      <xdr:rowOff>0</xdr:rowOff>
    </xdr:to>
    <xdr:sp macro="" textlink="">
      <xdr:nvSpPr>
        <xdr:cNvPr id="9314" name="Объект 7"/>
        <xdr:cNvSpPr>
          <a:spLocks/>
        </xdr:cNvSpPr>
      </xdr:nvSpPr>
      <xdr:spPr bwMode="auto">
        <a:xfrm>
          <a:off x="2171700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</xdr:row>
      <xdr:rowOff>0</xdr:rowOff>
    </xdr:from>
    <xdr:to>
      <xdr:col>3</xdr:col>
      <xdr:colOff>104775</xdr:colOff>
      <xdr:row>2</xdr:row>
      <xdr:rowOff>0</xdr:rowOff>
    </xdr:to>
    <xdr:sp macro="" textlink="">
      <xdr:nvSpPr>
        <xdr:cNvPr id="9315" name="Объект 8"/>
        <xdr:cNvSpPr>
          <a:spLocks/>
        </xdr:cNvSpPr>
      </xdr:nvSpPr>
      <xdr:spPr bwMode="auto">
        <a:xfrm>
          <a:off x="1752600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2</xdr:row>
      <xdr:rowOff>0</xdr:rowOff>
    </xdr:from>
    <xdr:to>
      <xdr:col>4</xdr:col>
      <xdr:colOff>152400</xdr:colOff>
      <xdr:row>2</xdr:row>
      <xdr:rowOff>0</xdr:rowOff>
    </xdr:to>
    <xdr:sp macro="" textlink="">
      <xdr:nvSpPr>
        <xdr:cNvPr id="9316" name="Объект 8"/>
        <xdr:cNvSpPr>
          <a:spLocks/>
        </xdr:cNvSpPr>
      </xdr:nvSpPr>
      <xdr:spPr bwMode="auto">
        <a:xfrm>
          <a:off x="2200275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</xdr:row>
      <xdr:rowOff>0</xdr:rowOff>
    </xdr:from>
    <xdr:to>
      <xdr:col>3</xdr:col>
      <xdr:colOff>85725</xdr:colOff>
      <xdr:row>2</xdr:row>
      <xdr:rowOff>0</xdr:rowOff>
    </xdr:to>
    <xdr:sp macro="" textlink="">
      <xdr:nvSpPr>
        <xdr:cNvPr id="9317" name="Объект 5"/>
        <xdr:cNvSpPr>
          <a:spLocks/>
        </xdr:cNvSpPr>
      </xdr:nvSpPr>
      <xdr:spPr bwMode="auto">
        <a:xfrm>
          <a:off x="1733550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0</xdr:rowOff>
    </xdr:from>
    <xdr:to>
      <xdr:col>4</xdr:col>
      <xdr:colOff>123825</xdr:colOff>
      <xdr:row>2</xdr:row>
      <xdr:rowOff>0</xdr:rowOff>
    </xdr:to>
    <xdr:sp macro="" textlink="">
      <xdr:nvSpPr>
        <xdr:cNvPr id="9318" name="Объект 7"/>
        <xdr:cNvSpPr>
          <a:spLocks/>
        </xdr:cNvSpPr>
      </xdr:nvSpPr>
      <xdr:spPr bwMode="auto">
        <a:xfrm>
          <a:off x="2171700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</xdr:row>
      <xdr:rowOff>0</xdr:rowOff>
    </xdr:from>
    <xdr:to>
      <xdr:col>3</xdr:col>
      <xdr:colOff>104775</xdr:colOff>
      <xdr:row>2</xdr:row>
      <xdr:rowOff>0</xdr:rowOff>
    </xdr:to>
    <xdr:sp macro="" textlink="">
      <xdr:nvSpPr>
        <xdr:cNvPr id="9319" name="Объект 8"/>
        <xdr:cNvSpPr>
          <a:spLocks/>
        </xdr:cNvSpPr>
      </xdr:nvSpPr>
      <xdr:spPr bwMode="auto">
        <a:xfrm>
          <a:off x="1752600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2</xdr:row>
      <xdr:rowOff>0</xdr:rowOff>
    </xdr:from>
    <xdr:to>
      <xdr:col>4</xdr:col>
      <xdr:colOff>152400</xdr:colOff>
      <xdr:row>2</xdr:row>
      <xdr:rowOff>0</xdr:rowOff>
    </xdr:to>
    <xdr:sp macro="" textlink="">
      <xdr:nvSpPr>
        <xdr:cNvPr id="9320" name="Объект 8"/>
        <xdr:cNvSpPr>
          <a:spLocks/>
        </xdr:cNvSpPr>
      </xdr:nvSpPr>
      <xdr:spPr bwMode="auto">
        <a:xfrm>
          <a:off x="2200275" y="6096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32</xdr:row>
      <xdr:rowOff>76200</xdr:rowOff>
    </xdr:from>
    <xdr:to>
      <xdr:col>3</xdr:col>
      <xdr:colOff>85725</xdr:colOff>
      <xdr:row>32</xdr:row>
      <xdr:rowOff>123825</xdr:rowOff>
    </xdr:to>
    <xdr:sp macro="" textlink="">
      <xdr:nvSpPr>
        <xdr:cNvPr id="9321" name="Объект 5"/>
        <xdr:cNvSpPr>
          <a:spLocks/>
        </xdr:cNvSpPr>
      </xdr:nvSpPr>
      <xdr:spPr bwMode="auto">
        <a:xfrm>
          <a:off x="1733550" y="58102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32</xdr:row>
      <xdr:rowOff>76200</xdr:rowOff>
    </xdr:from>
    <xdr:to>
      <xdr:col>4</xdr:col>
      <xdr:colOff>123825</xdr:colOff>
      <xdr:row>32</xdr:row>
      <xdr:rowOff>123825</xdr:rowOff>
    </xdr:to>
    <xdr:sp macro="" textlink="">
      <xdr:nvSpPr>
        <xdr:cNvPr id="9322" name="Объект 7"/>
        <xdr:cNvSpPr>
          <a:spLocks/>
        </xdr:cNvSpPr>
      </xdr:nvSpPr>
      <xdr:spPr bwMode="auto">
        <a:xfrm>
          <a:off x="2171700" y="58102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33</xdr:row>
      <xdr:rowOff>76200</xdr:rowOff>
    </xdr:from>
    <xdr:to>
      <xdr:col>3</xdr:col>
      <xdr:colOff>104775</xdr:colOff>
      <xdr:row>33</xdr:row>
      <xdr:rowOff>123825</xdr:rowOff>
    </xdr:to>
    <xdr:sp macro="" textlink="">
      <xdr:nvSpPr>
        <xdr:cNvPr id="9323" name="Объект 8"/>
        <xdr:cNvSpPr>
          <a:spLocks/>
        </xdr:cNvSpPr>
      </xdr:nvSpPr>
      <xdr:spPr bwMode="auto">
        <a:xfrm>
          <a:off x="1752600" y="59721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33</xdr:row>
      <xdr:rowOff>66675</xdr:rowOff>
    </xdr:from>
    <xdr:to>
      <xdr:col>4</xdr:col>
      <xdr:colOff>152400</xdr:colOff>
      <xdr:row>33</xdr:row>
      <xdr:rowOff>114300</xdr:rowOff>
    </xdr:to>
    <xdr:sp macro="" textlink="">
      <xdr:nvSpPr>
        <xdr:cNvPr id="9324" name="Объект 8"/>
        <xdr:cNvSpPr>
          <a:spLocks/>
        </xdr:cNvSpPr>
      </xdr:nvSpPr>
      <xdr:spPr bwMode="auto">
        <a:xfrm>
          <a:off x="2200275" y="59626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36</xdr:row>
      <xdr:rowOff>76200</xdr:rowOff>
    </xdr:from>
    <xdr:to>
      <xdr:col>3</xdr:col>
      <xdr:colOff>85725</xdr:colOff>
      <xdr:row>36</xdr:row>
      <xdr:rowOff>123825</xdr:rowOff>
    </xdr:to>
    <xdr:sp macro="" textlink="">
      <xdr:nvSpPr>
        <xdr:cNvPr id="9325" name="Объект 5"/>
        <xdr:cNvSpPr>
          <a:spLocks/>
        </xdr:cNvSpPr>
      </xdr:nvSpPr>
      <xdr:spPr bwMode="auto">
        <a:xfrm>
          <a:off x="1733550" y="64770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36</xdr:row>
      <xdr:rowOff>76200</xdr:rowOff>
    </xdr:from>
    <xdr:to>
      <xdr:col>4</xdr:col>
      <xdr:colOff>123825</xdr:colOff>
      <xdr:row>36</xdr:row>
      <xdr:rowOff>123825</xdr:rowOff>
    </xdr:to>
    <xdr:sp macro="" textlink="">
      <xdr:nvSpPr>
        <xdr:cNvPr id="9326" name="Объект 7"/>
        <xdr:cNvSpPr>
          <a:spLocks/>
        </xdr:cNvSpPr>
      </xdr:nvSpPr>
      <xdr:spPr bwMode="auto">
        <a:xfrm>
          <a:off x="2171700" y="64770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37</xdr:row>
      <xdr:rowOff>76200</xdr:rowOff>
    </xdr:from>
    <xdr:to>
      <xdr:col>3</xdr:col>
      <xdr:colOff>104775</xdr:colOff>
      <xdr:row>37</xdr:row>
      <xdr:rowOff>123825</xdr:rowOff>
    </xdr:to>
    <xdr:sp macro="" textlink="">
      <xdr:nvSpPr>
        <xdr:cNvPr id="9327" name="Объект 8"/>
        <xdr:cNvSpPr>
          <a:spLocks/>
        </xdr:cNvSpPr>
      </xdr:nvSpPr>
      <xdr:spPr bwMode="auto">
        <a:xfrm>
          <a:off x="1752600" y="66389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37</xdr:row>
      <xdr:rowOff>66675</xdr:rowOff>
    </xdr:from>
    <xdr:to>
      <xdr:col>4</xdr:col>
      <xdr:colOff>152400</xdr:colOff>
      <xdr:row>37</xdr:row>
      <xdr:rowOff>114300</xdr:rowOff>
    </xdr:to>
    <xdr:sp macro="" textlink="">
      <xdr:nvSpPr>
        <xdr:cNvPr id="9328" name="Объект 8"/>
        <xdr:cNvSpPr>
          <a:spLocks/>
        </xdr:cNvSpPr>
      </xdr:nvSpPr>
      <xdr:spPr bwMode="auto">
        <a:xfrm>
          <a:off x="2200275" y="66294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34</xdr:row>
      <xdr:rowOff>76200</xdr:rowOff>
    </xdr:from>
    <xdr:to>
      <xdr:col>3</xdr:col>
      <xdr:colOff>85725</xdr:colOff>
      <xdr:row>34</xdr:row>
      <xdr:rowOff>123825</xdr:rowOff>
    </xdr:to>
    <xdr:sp macro="" textlink="">
      <xdr:nvSpPr>
        <xdr:cNvPr id="10313" name="Объект 5"/>
        <xdr:cNvSpPr>
          <a:spLocks/>
        </xdr:cNvSpPr>
      </xdr:nvSpPr>
      <xdr:spPr bwMode="auto">
        <a:xfrm>
          <a:off x="1857375" y="63436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34</xdr:row>
      <xdr:rowOff>76200</xdr:rowOff>
    </xdr:from>
    <xdr:to>
      <xdr:col>4</xdr:col>
      <xdr:colOff>123825</xdr:colOff>
      <xdr:row>34</xdr:row>
      <xdr:rowOff>123825</xdr:rowOff>
    </xdr:to>
    <xdr:sp macro="" textlink="">
      <xdr:nvSpPr>
        <xdr:cNvPr id="10314" name="Объект 7"/>
        <xdr:cNvSpPr>
          <a:spLocks/>
        </xdr:cNvSpPr>
      </xdr:nvSpPr>
      <xdr:spPr bwMode="auto">
        <a:xfrm>
          <a:off x="2295525" y="63436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35</xdr:row>
      <xdr:rowOff>76200</xdr:rowOff>
    </xdr:from>
    <xdr:to>
      <xdr:col>3</xdr:col>
      <xdr:colOff>104775</xdr:colOff>
      <xdr:row>35</xdr:row>
      <xdr:rowOff>123825</xdr:rowOff>
    </xdr:to>
    <xdr:sp macro="" textlink="">
      <xdr:nvSpPr>
        <xdr:cNvPr id="10315" name="Объект 8"/>
        <xdr:cNvSpPr>
          <a:spLocks/>
        </xdr:cNvSpPr>
      </xdr:nvSpPr>
      <xdr:spPr bwMode="auto">
        <a:xfrm>
          <a:off x="1876425" y="65341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35</xdr:row>
      <xdr:rowOff>66675</xdr:rowOff>
    </xdr:from>
    <xdr:to>
      <xdr:col>4</xdr:col>
      <xdr:colOff>152400</xdr:colOff>
      <xdr:row>35</xdr:row>
      <xdr:rowOff>114300</xdr:rowOff>
    </xdr:to>
    <xdr:sp macro="" textlink="">
      <xdr:nvSpPr>
        <xdr:cNvPr id="10316" name="Объект 8"/>
        <xdr:cNvSpPr>
          <a:spLocks/>
        </xdr:cNvSpPr>
      </xdr:nvSpPr>
      <xdr:spPr bwMode="auto">
        <a:xfrm>
          <a:off x="2324100" y="65246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38</xdr:row>
      <xdr:rowOff>76200</xdr:rowOff>
    </xdr:from>
    <xdr:to>
      <xdr:col>3</xdr:col>
      <xdr:colOff>85725</xdr:colOff>
      <xdr:row>38</xdr:row>
      <xdr:rowOff>123825</xdr:rowOff>
    </xdr:to>
    <xdr:sp macro="" textlink="">
      <xdr:nvSpPr>
        <xdr:cNvPr id="10317" name="Объект 5"/>
        <xdr:cNvSpPr>
          <a:spLocks/>
        </xdr:cNvSpPr>
      </xdr:nvSpPr>
      <xdr:spPr bwMode="auto">
        <a:xfrm>
          <a:off x="1857375" y="70866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38</xdr:row>
      <xdr:rowOff>76200</xdr:rowOff>
    </xdr:from>
    <xdr:to>
      <xdr:col>4</xdr:col>
      <xdr:colOff>123825</xdr:colOff>
      <xdr:row>38</xdr:row>
      <xdr:rowOff>123825</xdr:rowOff>
    </xdr:to>
    <xdr:sp macro="" textlink="">
      <xdr:nvSpPr>
        <xdr:cNvPr id="10318" name="Объект 7"/>
        <xdr:cNvSpPr>
          <a:spLocks/>
        </xdr:cNvSpPr>
      </xdr:nvSpPr>
      <xdr:spPr bwMode="auto">
        <a:xfrm>
          <a:off x="2295525" y="70866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39</xdr:row>
      <xdr:rowOff>76200</xdr:rowOff>
    </xdr:from>
    <xdr:to>
      <xdr:col>3</xdr:col>
      <xdr:colOff>104775</xdr:colOff>
      <xdr:row>39</xdr:row>
      <xdr:rowOff>123825</xdr:rowOff>
    </xdr:to>
    <xdr:sp macro="" textlink="">
      <xdr:nvSpPr>
        <xdr:cNvPr id="10319" name="Объект 8"/>
        <xdr:cNvSpPr>
          <a:spLocks/>
        </xdr:cNvSpPr>
      </xdr:nvSpPr>
      <xdr:spPr bwMode="auto">
        <a:xfrm>
          <a:off x="1876425" y="72485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39</xdr:row>
      <xdr:rowOff>66675</xdr:rowOff>
    </xdr:from>
    <xdr:to>
      <xdr:col>4</xdr:col>
      <xdr:colOff>152400</xdr:colOff>
      <xdr:row>39</xdr:row>
      <xdr:rowOff>114300</xdr:rowOff>
    </xdr:to>
    <xdr:sp macro="" textlink="">
      <xdr:nvSpPr>
        <xdr:cNvPr id="10320" name="Объект 8"/>
        <xdr:cNvSpPr>
          <a:spLocks/>
        </xdr:cNvSpPr>
      </xdr:nvSpPr>
      <xdr:spPr bwMode="auto">
        <a:xfrm>
          <a:off x="2324100" y="72390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44</xdr:row>
      <xdr:rowOff>0</xdr:rowOff>
    </xdr:from>
    <xdr:to>
      <xdr:col>3</xdr:col>
      <xdr:colOff>85725</xdr:colOff>
      <xdr:row>44</xdr:row>
      <xdr:rowOff>0</xdr:rowOff>
    </xdr:to>
    <xdr:sp macro="" textlink="">
      <xdr:nvSpPr>
        <xdr:cNvPr id="10321" name="Объект 5"/>
        <xdr:cNvSpPr>
          <a:spLocks/>
        </xdr:cNvSpPr>
      </xdr:nvSpPr>
      <xdr:spPr bwMode="auto">
        <a:xfrm>
          <a:off x="1857375" y="80200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44</xdr:row>
      <xdr:rowOff>0</xdr:rowOff>
    </xdr:from>
    <xdr:to>
      <xdr:col>4</xdr:col>
      <xdr:colOff>123825</xdr:colOff>
      <xdr:row>44</xdr:row>
      <xdr:rowOff>0</xdr:rowOff>
    </xdr:to>
    <xdr:sp macro="" textlink="">
      <xdr:nvSpPr>
        <xdr:cNvPr id="10322" name="Объект 7"/>
        <xdr:cNvSpPr>
          <a:spLocks/>
        </xdr:cNvSpPr>
      </xdr:nvSpPr>
      <xdr:spPr bwMode="auto">
        <a:xfrm>
          <a:off x="2295525" y="80200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44</xdr:row>
      <xdr:rowOff>0</xdr:rowOff>
    </xdr:from>
    <xdr:to>
      <xdr:col>3</xdr:col>
      <xdr:colOff>104775</xdr:colOff>
      <xdr:row>44</xdr:row>
      <xdr:rowOff>0</xdr:rowOff>
    </xdr:to>
    <xdr:sp macro="" textlink="">
      <xdr:nvSpPr>
        <xdr:cNvPr id="10323" name="Объект 8"/>
        <xdr:cNvSpPr>
          <a:spLocks/>
        </xdr:cNvSpPr>
      </xdr:nvSpPr>
      <xdr:spPr bwMode="auto">
        <a:xfrm>
          <a:off x="1876425" y="80200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44</xdr:row>
      <xdr:rowOff>0</xdr:rowOff>
    </xdr:from>
    <xdr:to>
      <xdr:col>4</xdr:col>
      <xdr:colOff>152400</xdr:colOff>
      <xdr:row>44</xdr:row>
      <xdr:rowOff>0</xdr:rowOff>
    </xdr:to>
    <xdr:sp macro="" textlink="">
      <xdr:nvSpPr>
        <xdr:cNvPr id="10324" name="Объект 8"/>
        <xdr:cNvSpPr>
          <a:spLocks/>
        </xdr:cNvSpPr>
      </xdr:nvSpPr>
      <xdr:spPr bwMode="auto">
        <a:xfrm>
          <a:off x="2324100" y="80200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34</xdr:row>
      <xdr:rowOff>76200</xdr:rowOff>
    </xdr:from>
    <xdr:to>
      <xdr:col>3</xdr:col>
      <xdr:colOff>85725</xdr:colOff>
      <xdr:row>34</xdr:row>
      <xdr:rowOff>123825</xdr:rowOff>
    </xdr:to>
    <xdr:sp macro="" textlink="">
      <xdr:nvSpPr>
        <xdr:cNvPr id="10325" name="Объект 5"/>
        <xdr:cNvSpPr>
          <a:spLocks/>
        </xdr:cNvSpPr>
      </xdr:nvSpPr>
      <xdr:spPr bwMode="auto">
        <a:xfrm>
          <a:off x="1857375" y="63436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34</xdr:row>
      <xdr:rowOff>76200</xdr:rowOff>
    </xdr:from>
    <xdr:to>
      <xdr:col>4</xdr:col>
      <xdr:colOff>123825</xdr:colOff>
      <xdr:row>34</xdr:row>
      <xdr:rowOff>123825</xdr:rowOff>
    </xdr:to>
    <xdr:sp macro="" textlink="">
      <xdr:nvSpPr>
        <xdr:cNvPr id="10326" name="Объект 7"/>
        <xdr:cNvSpPr>
          <a:spLocks/>
        </xdr:cNvSpPr>
      </xdr:nvSpPr>
      <xdr:spPr bwMode="auto">
        <a:xfrm>
          <a:off x="2295525" y="63436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35</xdr:row>
      <xdr:rowOff>76200</xdr:rowOff>
    </xdr:from>
    <xdr:to>
      <xdr:col>3</xdr:col>
      <xdr:colOff>104775</xdr:colOff>
      <xdr:row>35</xdr:row>
      <xdr:rowOff>123825</xdr:rowOff>
    </xdr:to>
    <xdr:sp macro="" textlink="">
      <xdr:nvSpPr>
        <xdr:cNvPr id="10327" name="Объект 8"/>
        <xdr:cNvSpPr>
          <a:spLocks/>
        </xdr:cNvSpPr>
      </xdr:nvSpPr>
      <xdr:spPr bwMode="auto">
        <a:xfrm>
          <a:off x="1876425" y="65341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35</xdr:row>
      <xdr:rowOff>66675</xdr:rowOff>
    </xdr:from>
    <xdr:to>
      <xdr:col>4</xdr:col>
      <xdr:colOff>152400</xdr:colOff>
      <xdr:row>35</xdr:row>
      <xdr:rowOff>114300</xdr:rowOff>
    </xdr:to>
    <xdr:sp macro="" textlink="">
      <xdr:nvSpPr>
        <xdr:cNvPr id="10328" name="Объект 8"/>
        <xdr:cNvSpPr>
          <a:spLocks/>
        </xdr:cNvSpPr>
      </xdr:nvSpPr>
      <xdr:spPr bwMode="auto">
        <a:xfrm>
          <a:off x="2324100" y="65246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38</xdr:row>
      <xdr:rowOff>76200</xdr:rowOff>
    </xdr:from>
    <xdr:to>
      <xdr:col>3</xdr:col>
      <xdr:colOff>85725</xdr:colOff>
      <xdr:row>38</xdr:row>
      <xdr:rowOff>123825</xdr:rowOff>
    </xdr:to>
    <xdr:sp macro="" textlink="">
      <xdr:nvSpPr>
        <xdr:cNvPr id="10329" name="Объект 5"/>
        <xdr:cNvSpPr>
          <a:spLocks/>
        </xdr:cNvSpPr>
      </xdr:nvSpPr>
      <xdr:spPr bwMode="auto">
        <a:xfrm>
          <a:off x="1857375" y="70866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38</xdr:row>
      <xdr:rowOff>76200</xdr:rowOff>
    </xdr:from>
    <xdr:to>
      <xdr:col>4</xdr:col>
      <xdr:colOff>123825</xdr:colOff>
      <xdr:row>38</xdr:row>
      <xdr:rowOff>123825</xdr:rowOff>
    </xdr:to>
    <xdr:sp macro="" textlink="">
      <xdr:nvSpPr>
        <xdr:cNvPr id="10330" name="Объект 7"/>
        <xdr:cNvSpPr>
          <a:spLocks/>
        </xdr:cNvSpPr>
      </xdr:nvSpPr>
      <xdr:spPr bwMode="auto">
        <a:xfrm>
          <a:off x="2295525" y="70866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39</xdr:row>
      <xdr:rowOff>76200</xdr:rowOff>
    </xdr:from>
    <xdr:to>
      <xdr:col>3</xdr:col>
      <xdr:colOff>104775</xdr:colOff>
      <xdr:row>39</xdr:row>
      <xdr:rowOff>123825</xdr:rowOff>
    </xdr:to>
    <xdr:sp macro="" textlink="">
      <xdr:nvSpPr>
        <xdr:cNvPr id="10331" name="Объект 8"/>
        <xdr:cNvSpPr>
          <a:spLocks/>
        </xdr:cNvSpPr>
      </xdr:nvSpPr>
      <xdr:spPr bwMode="auto">
        <a:xfrm>
          <a:off x="1876425" y="72485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39</xdr:row>
      <xdr:rowOff>66675</xdr:rowOff>
    </xdr:from>
    <xdr:to>
      <xdr:col>4</xdr:col>
      <xdr:colOff>152400</xdr:colOff>
      <xdr:row>39</xdr:row>
      <xdr:rowOff>114300</xdr:rowOff>
    </xdr:to>
    <xdr:sp macro="" textlink="">
      <xdr:nvSpPr>
        <xdr:cNvPr id="10332" name="Объект 8"/>
        <xdr:cNvSpPr>
          <a:spLocks/>
        </xdr:cNvSpPr>
      </xdr:nvSpPr>
      <xdr:spPr bwMode="auto">
        <a:xfrm>
          <a:off x="2324100" y="72390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44</xdr:row>
      <xdr:rowOff>0</xdr:rowOff>
    </xdr:from>
    <xdr:to>
      <xdr:col>3</xdr:col>
      <xdr:colOff>85725</xdr:colOff>
      <xdr:row>44</xdr:row>
      <xdr:rowOff>0</xdr:rowOff>
    </xdr:to>
    <xdr:sp macro="" textlink="">
      <xdr:nvSpPr>
        <xdr:cNvPr id="10333" name="Объект 5"/>
        <xdr:cNvSpPr>
          <a:spLocks/>
        </xdr:cNvSpPr>
      </xdr:nvSpPr>
      <xdr:spPr bwMode="auto">
        <a:xfrm>
          <a:off x="1857375" y="80200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44</xdr:row>
      <xdr:rowOff>0</xdr:rowOff>
    </xdr:from>
    <xdr:to>
      <xdr:col>4</xdr:col>
      <xdr:colOff>123825</xdr:colOff>
      <xdr:row>44</xdr:row>
      <xdr:rowOff>0</xdr:rowOff>
    </xdr:to>
    <xdr:sp macro="" textlink="">
      <xdr:nvSpPr>
        <xdr:cNvPr id="10334" name="Объект 7"/>
        <xdr:cNvSpPr>
          <a:spLocks/>
        </xdr:cNvSpPr>
      </xdr:nvSpPr>
      <xdr:spPr bwMode="auto">
        <a:xfrm>
          <a:off x="2295525" y="80200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44</xdr:row>
      <xdr:rowOff>0</xdr:rowOff>
    </xdr:from>
    <xdr:to>
      <xdr:col>3</xdr:col>
      <xdr:colOff>104775</xdr:colOff>
      <xdr:row>44</xdr:row>
      <xdr:rowOff>0</xdr:rowOff>
    </xdr:to>
    <xdr:sp macro="" textlink="">
      <xdr:nvSpPr>
        <xdr:cNvPr id="10335" name="Объект 8"/>
        <xdr:cNvSpPr>
          <a:spLocks/>
        </xdr:cNvSpPr>
      </xdr:nvSpPr>
      <xdr:spPr bwMode="auto">
        <a:xfrm>
          <a:off x="1876425" y="80200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44</xdr:row>
      <xdr:rowOff>0</xdr:rowOff>
    </xdr:from>
    <xdr:to>
      <xdr:col>4</xdr:col>
      <xdr:colOff>152400</xdr:colOff>
      <xdr:row>44</xdr:row>
      <xdr:rowOff>0</xdr:rowOff>
    </xdr:to>
    <xdr:sp macro="" textlink="">
      <xdr:nvSpPr>
        <xdr:cNvPr id="10336" name="Объект 8"/>
        <xdr:cNvSpPr>
          <a:spLocks/>
        </xdr:cNvSpPr>
      </xdr:nvSpPr>
      <xdr:spPr bwMode="auto">
        <a:xfrm>
          <a:off x="2324100" y="80200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41</xdr:row>
      <xdr:rowOff>76200</xdr:rowOff>
    </xdr:from>
    <xdr:to>
      <xdr:col>3</xdr:col>
      <xdr:colOff>85725</xdr:colOff>
      <xdr:row>41</xdr:row>
      <xdr:rowOff>123825</xdr:rowOff>
    </xdr:to>
    <xdr:sp macro="" textlink="">
      <xdr:nvSpPr>
        <xdr:cNvPr id="12325" name="Объект 5"/>
        <xdr:cNvSpPr>
          <a:spLocks/>
        </xdr:cNvSpPr>
      </xdr:nvSpPr>
      <xdr:spPr bwMode="auto">
        <a:xfrm>
          <a:off x="1390650" y="74295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66675</xdr:colOff>
      <xdr:row>41</xdr:row>
      <xdr:rowOff>95250</xdr:rowOff>
    </xdr:from>
    <xdr:to>
      <xdr:col>4</xdr:col>
      <xdr:colOff>133350</xdr:colOff>
      <xdr:row>41</xdr:row>
      <xdr:rowOff>142875</xdr:rowOff>
    </xdr:to>
    <xdr:sp macro="" textlink="">
      <xdr:nvSpPr>
        <xdr:cNvPr id="12326" name="Объект 7"/>
        <xdr:cNvSpPr>
          <a:spLocks/>
        </xdr:cNvSpPr>
      </xdr:nvSpPr>
      <xdr:spPr bwMode="auto">
        <a:xfrm>
          <a:off x="1838325" y="74485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42</xdr:row>
      <xdr:rowOff>123825</xdr:rowOff>
    </xdr:from>
    <xdr:to>
      <xdr:col>3</xdr:col>
      <xdr:colOff>95250</xdr:colOff>
      <xdr:row>42</xdr:row>
      <xdr:rowOff>171450</xdr:rowOff>
    </xdr:to>
    <xdr:sp macro="" textlink="">
      <xdr:nvSpPr>
        <xdr:cNvPr id="12327" name="Объект 8"/>
        <xdr:cNvSpPr>
          <a:spLocks/>
        </xdr:cNvSpPr>
      </xdr:nvSpPr>
      <xdr:spPr bwMode="auto">
        <a:xfrm>
          <a:off x="1400175" y="76676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104775</xdr:colOff>
      <xdr:row>42</xdr:row>
      <xdr:rowOff>133350</xdr:rowOff>
    </xdr:from>
    <xdr:to>
      <xdr:col>4</xdr:col>
      <xdr:colOff>171450</xdr:colOff>
      <xdr:row>42</xdr:row>
      <xdr:rowOff>180975</xdr:rowOff>
    </xdr:to>
    <xdr:sp macro="" textlink="">
      <xdr:nvSpPr>
        <xdr:cNvPr id="12328" name="Объект 8"/>
        <xdr:cNvSpPr>
          <a:spLocks/>
        </xdr:cNvSpPr>
      </xdr:nvSpPr>
      <xdr:spPr bwMode="auto">
        <a:xfrm>
          <a:off x="1876425" y="76771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45</xdr:row>
      <xdr:rowOff>76200</xdr:rowOff>
    </xdr:from>
    <xdr:to>
      <xdr:col>3</xdr:col>
      <xdr:colOff>85725</xdr:colOff>
      <xdr:row>45</xdr:row>
      <xdr:rowOff>123825</xdr:rowOff>
    </xdr:to>
    <xdr:sp macro="" textlink="">
      <xdr:nvSpPr>
        <xdr:cNvPr id="12329" name="Объект 5"/>
        <xdr:cNvSpPr>
          <a:spLocks/>
        </xdr:cNvSpPr>
      </xdr:nvSpPr>
      <xdr:spPr bwMode="auto">
        <a:xfrm>
          <a:off x="1390650" y="81819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45</xdr:row>
      <xdr:rowOff>76200</xdr:rowOff>
    </xdr:from>
    <xdr:to>
      <xdr:col>4</xdr:col>
      <xdr:colOff>142875</xdr:colOff>
      <xdr:row>45</xdr:row>
      <xdr:rowOff>123825</xdr:rowOff>
    </xdr:to>
    <xdr:sp macro="" textlink="">
      <xdr:nvSpPr>
        <xdr:cNvPr id="12330" name="Объект 7"/>
        <xdr:cNvSpPr>
          <a:spLocks/>
        </xdr:cNvSpPr>
      </xdr:nvSpPr>
      <xdr:spPr bwMode="auto">
        <a:xfrm>
          <a:off x="1847850" y="81819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46</xdr:row>
      <xdr:rowOff>76200</xdr:rowOff>
    </xdr:from>
    <xdr:to>
      <xdr:col>3</xdr:col>
      <xdr:colOff>95250</xdr:colOff>
      <xdr:row>46</xdr:row>
      <xdr:rowOff>123825</xdr:rowOff>
    </xdr:to>
    <xdr:sp macro="" textlink="">
      <xdr:nvSpPr>
        <xdr:cNvPr id="12331" name="Объект 8"/>
        <xdr:cNvSpPr>
          <a:spLocks/>
        </xdr:cNvSpPr>
      </xdr:nvSpPr>
      <xdr:spPr bwMode="auto">
        <a:xfrm>
          <a:off x="1400175" y="83439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104775</xdr:colOff>
      <xdr:row>46</xdr:row>
      <xdr:rowOff>66675</xdr:rowOff>
    </xdr:from>
    <xdr:to>
      <xdr:col>4</xdr:col>
      <xdr:colOff>171450</xdr:colOff>
      <xdr:row>46</xdr:row>
      <xdr:rowOff>114300</xdr:rowOff>
    </xdr:to>
    <xdr:sp macro="" textlink="">
      <xdr:nvSpPr>
        <xdr:cNvPr id="12332" name="Объект 8"/>
        <xdr:cNvSpPr>
          <a:spLocks/>
        </xdr:cNvSpPr>
      </xdr:nvSpPr>
      <xdr:spPr bwMode="auto">
        <a:xfrm>
          <a:off x="1876425" y="83343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51</xdr:row>
      <xdr:rowOff>0</xdr:rowOff>
    </xdr:from>
    <xdr:to>
      <xdr:col>3</xdr:col>
      <xdr:colOff>85725</xdr:colOff>
      <xdr:row>51</xdr:row>
      <xdr:rowOff>0</xdr:rowOff>
    </xdr:to>
    <xdr:sp macro="" textlink="">
      <xdr:nvSpPr>
        <xdr:cNvPr id="12333" name="Объект 5"/>
        <xdr:cNvSpPr>
          <a:spLocks/>
        </xdr:cNvSpPr>
      </xdr:nvSpPr>
      <xdr:spPr bwMode="auto">
        <a:xfrm>
          <a:off x="1390650" y="91249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51</xdr:row>
      <xdr:rowOff>0</xdr:rowOff>
    </xdr:from>
    <xdr:to>
      <xdr:col>4</xdr:col>
      <xdr:colOff>123825</xdr:colOff>
      <xdr:row>51</xdr:row>
      <xdr:rowOff>0</xdr:rowOff>
    </xdr:to>
    <xdr:sp macro="" textlink="">
      <xdr:nvSpPr>
        <xdr:cNvPr id="12334" name="Объект 7"/>
        <xdr:cNvSpPr>
          <a:spLocks/>
        </xdr:cNvSpPr>
      </xdr:nvSpPr>
      <xdr:spPr bwMode="auto">
        <a:xfrm>
          <a:off x="1828800" y="91249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51</xdr:row>
      <xdr:rowOff>0</xdr:rowOff>
    </xdr:from>
    <xdr:to>
      <xdr:col>3</xdr:col>
      <xdr:colOff>104775</xdr:colOff>
      <xdr:row>51</xdr:row>
      <xdr:rowOff>0</xdr:rowOff>
    </xdr:to>
    <xdr:sp macro="" textlink="">
      <xdr:nvSpPr>
        <xdr:cNvPr id="12335" name="Объект 8"/>
        <xdr:cNvSpPr>
          <a:spLocks/>
        </xdr:cNvSpPr>
      </xdr:nvSpPr>
      <xdr:spPr bwMode="auto">
        <a:xfrm>
          <a:off x="1409700" y="91249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51</xdr:row>
      <xdr:rowOff>0</xdr:rowOff>
    </xdr:from>
    <xdr:to>
      <xdr:col>4</xdr:col>
      <xdr:colOff>152400</xdr:colOff>
      <xdr:row>51</xdr:row>
      <xdr:rowOff>0</xdr:rowOff>
    </xdr:to>
    <xdr:sp macro="" textlink="">
      <xdr:nvSpPr>
        <xdr:cNvPr id="12336" name="Объект 8"/>
        <xdr:cNvSpPr>
          <a:spLocks/>
        </xdr:cNvSpPr>
      </xdr:nvSpPr>
      <xdr:spPr bwMode="auto">
        <a:xfrm>
          <a:off x="1857375" y="91249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49</xdr:row>
      <xdr:rowOff>76200</xdr:rowOff>
    </xdr:from>
    <xdr:to>
      <xdr:col>3</xdr:col>
      <xdr:colOff>85725</xdr:colOff>
      <xdr:row>49</xdr:row>
      <xdr:rowOff>123825</xdr:rowOff>
    </xdr:to>
    <xdr:sp macro="" textlink="">
      <xdr:nvSpPr>
        <xdr:cNvPr id="13349" name="Объект 5"/>
        <xdr:cNvSpPr>
          <a:spLocks/>
        </xdr:cNvSpPr>
      </xdr:nvSpPr>
      <xdr:spPr bwMode="auto">
        <a:xfrm>
          <a:off x="2476500" y="88011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49</xdr:row>
      <xdr:rowOff>76200</xdr:rowOff>
    </xdr:from>
    <xdr:to>
      <xdr:col>4</xdr:col>
      <xdr:colOff>123825</xdr:colOff>
      <xdr:row>49</xdr:row>
      <xdr:rowOff>123825</xdr:rowOff>
    </xdr:to>
    <xdr:sp macro="" textlink="">
      <xdr:nvSpPr>
        <xdr:cNvPr id="13350" name="Объект 7"/>
        <xdr:cNvSpPr>
          <a:spLocks/>
        </xdr:cNvSpPr>
      </xdr:nvSpPr>
      <xdr:spPr bwMode="auto">
        <a:xfrm>
          <a:off x="2914650" y="88011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50</xdr:row>
      <xdr:rowOff>76200</xdr:rowOff>
    </xdr:from>
    <xdr:to>
      <xdr:col>3</xdr:col>
      <xdr:colOff>104775</xdr:colOff>
      <xdr:row>50</xdr:row>
      <xdr:rowOff>123825</xdr:rowOff>
    </xdr:to>
    <xdr:sp macro="" textlink="">
      <xdr:nvSpPr>
        <xdr:cNvPr id="13351" name="Объект 8"/>
        <xdr:cNvSpPr>
          <a:spLocks/>
        </xdr:cNvSpPr>
      </xdr:nvSpPr>
      <xdr:spPr bwMode="auto">
        <a:xfrm>
          <a:off x="2495550" y="89916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50</xdr:row>
      <xdr:rowOff>66675</xdr:rowOff>
    </xdr:from>
    <xdr:to>
      <xdr:col>4</xdr:col>
      <xdr:colOff>152400</xdr:colOff>
      <xdr:row>50</xdr:row>
      <xdr:rowOff>114300</xdr:rowOff>
    </xdr:to>
    <xdr:sp macro="" textlink="">
      <xdr:nvSpPr>
        <xdr:cNvPr id="13352" name="Объект 8"/>
        <xdr:cNvSpPr>
          <a:spLocks/>
        </xdr:cNvSpPr>
      </xdr:nvSpPr>
      <xdr:spPr bwMode="auto">
        <a:xfrm>
          <a:off x="2943225" y="89820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53</xdr:row>
      <xdr:rowOff>76200</xdr:rowOff>
    </xdr:from>
    <xdr:to>
      <xdr:col>3</xdr:col>
      <xdr:colOff>85725</xdr:colOff>
      <xdr:row>53</xdr:row>
      <xdr:rowOff>123825</xdr:rowOff>
    </xdr:to>
    <xdr:sp macro="" textlink="">
      <xdr:nvSpPr>
        <xdr:cNvPr id="13353" name="Объект 5"/>
        <xdr:cNvSpPr>
          <a:spLocks/>
        </xdr:cNvSpPr>
      </xdr:nvSpPr>
      <xdr:spPr bwMode="auto">
        <a:xfrm>
          <a:off x="2476500" y="95535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53</xdr:row>
      <xdr:rowOff>76200</xdr:rowOff>
    </xdr:from>
    <xdr:to>
      <xdr:col>4</xdr:col>
      <xdr:colOff>123825</xdr:colOff>
      <xdr:row>53</xdr:row>
      <xdr:rowOff>123825</xdr:rowOff>
    </xdr:to>
    <xdr:sp macro="" textlink="">
      <xdr:nvSpPr>
        <xdr:cNvPr id="13354" name="Объект 7"/>
        <xdr:cNvSpPr>
          <a:spLocks/>
        </xdr:cNvSpPr>
      </xdr:nvSpPr>
      <xdr:spPr bwMode="auto">
        <a:xfrm>
          <a:off x="2914650" y="95535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54</xdr:row>
      <xdr:rowOff>76200</xdr:rowOff>
    </xdr:from>
    <xdr:to>
      <xdr:col>3</xdr:col>
      <xdr:colOff>104775</xdr:colOff>
      <xdr:row>54</xdr:row>
      <xdr:rowOff>123825</xdr:rowOff>
    </xdr:to>
    <xdr:sp macro="" textlink="">
      <xdr:nvSpPr>
        <xdr:cNvPr id="13355" name="Объект 8"/>
        <xdr:cNvSpPr>
          <a:spLocks/>
        </xdr:cNvSpPr>
      </xdr:nvSpPr>
      <xdr:spPr bwMode="auto">
        <a:xfrm>
          <a:off x="2495550" y="97155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54</xdr:row>
      <xdr:rowOff>66675</xdr:rowOff>
    </xdr:from>
    <xdr:to>
      <xdr:col>4</xdr:col>
      <xdr:colOff>152400</xdr:colOff>
      <xdr:row>54</xdr:row>
      <xdr:rowOff>114300</xdr:rowOff>
    </xdr:to>
    <xdr:sp macro="" textlink="">
      <xdr:nvSpPr>
        <xdr:cNvPr id="13356" name="Объект 8"/>
        <xdr:cNvSpPr>
          <a:spLocks/>
        </xdr:cNvSpPr>
      </xdr:nvSpPr>
      <xdr:spPr bwMode="auto">
        <a:xfrm>
          <a:off x="2943225" y="97059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742950</xdr:colOff>
      <xdr:row>59</xdr:row>
      <xdr:rowOff>0</xdr:rowOff>
    </xdr:from>
    <xdr:to>
      <xdr:col>2</xdr:col>
      <xdr:colOff>809625</xdr:colOff>
      <xdr:row>59</xdr:row>
      <xdr:rowOff>0</xdr:rowOff>
    </xdr:to>
    <xdr:sp macro="" textlink="">
      <xdr:nvSpPr>
        <xdr:cNvPr id="13357" name="Объект 5"/>
        <xdr:cNvSpPr>
          <a:spLocks/>
        </xdr:cNvSpPr>
      </xdr:nvSpPr>
      <xdr:spPr bwMode="auto">
        <a:xfrm>
          <a:off x="2390775" y="104965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59</xdr:row>
      <xdr:rowOff>0</xdr:rowOff>
    </xdr:from>
    <xdr:to>
      <xdr:col>4</xdr:col>
      <xdr:colOff>123825</xdr:colOff>
      <xdr:row>59</xdr:row>
      <xdr:rowOff>0</xdr:rowOff>
    </xdr:to>
    <xdr:sp macro="" textlink="">
      <xdr:nvSpPr>
        <xdr:cNvPr id="13358" name="Объект 7"/>
        <xdr:cNvSpPr>
          <a:spLocks/>
        </xdr:cNvSpPr>
      </xdr:nvSpPr>
      <xdr:spPr bwMode="auto">
        <a:xfrm>
          <a:off x="2914650" y="104965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59</xdr:row>
      <xdr:rowOff>0</xdr:rowOff>
    </xdr:from>
    <xdr:to>
      <xdr:col>3</xdr:col>
      <xdr:colOff>104775</xdr:colOff>
      <xdr:row>59</xdr:row>
      <xdr:rowOff>0</xdr:rowOff>
    </xdr:to>
    <xdr:sp macro="" textlink="">
      <xdr:nvSpPr>
        <xdr:cNvPr id="13359" name="Объект 8"/>
        <xdr:cNvSpPr>
          <a:spLocks/>
        </xdr:cNvSpPr>
      </xdr:nvSpPr>
      <xdr:spPr bwMode="auto">
        <a:xfrm>
          <a:off x="2495550" y="104965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59</xdr:row>
      <xdr:rowOff>0</xdr:rowOff>
    </xdr:from>
    <xdr:to>
      <xdr:col>4</xdr:col>
      <xdr:colOff>152400</xdr:colOff>
      <xdr:row>59</xdr:row>
      <xdr:rowOff>0</xdr:rowOff>
    </xdr:to>
    <xdr:sp macro="" textlink="">
      <xdr:nvSpPr>
        <xdr:cNvPr id="13360" name="Объект 8"/>
        <xdr:cNvSpPr>
          <a:spLocks/>
        </xdr:cNvSpPr>
      </xdr:nvSpPr>
      <xdr:spPr bwMode="auto">
        <a:xfrm>
          <a:off x="2943225" y="104965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41</xdr:row>
      <xdr:rowOff>0</xdr:rowOff>
    </xdr:from>
    <xdr:to>
      <xdr:col>3</xdr:col>
      <xdr:colOff>85725</xdr:colOff>
      <xdr:row>41</xdr:row>
      <xdr:rowOff>0</xdr:rowOff>
    </xdr:to>
    <xdr:sp macro="" textlink="">
      <xdr:nvSpPr>
        <xdr:cNvPr id="7181" name="Объект 5"/>
        <xdr:cNvSpPr>
          <a:spLocks/>
        </xdr:cNvSpPr>
      </xdr:nvSpPr>
      <xdr:spPr bwMode="auto">
        <a:xfrm>
          <a:off x="1390650" y="74199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41</xdr:row>
      <xdr:rowOff>0</xdr:rowOff>
    </xdr:from>
    <xdr:to>
      <xdr:col>4</xdr:col>
      <xdr:colOff>123825</xdr:colOff>
      <xdr:row>41</xdr:row>
      <xdr:rowOff>0</xdr:rowOff>
    </xdr:to>
    <xdr:sp macro="" textlink="">
      <xdr:nvSpPr>
        <xdr:cNvPr id="7182" name="Объект 7"/>
        <xdr:cNvSpPr>
          <a:spLocks/>
        </xdr:cNvSpPr>
      </xdr:nvSpPr>
      <xdr:spPr bwMode="auto">
        <a:xfrm>
          <a:off x="1828800" y="74199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41</xdr:row>
      <xdr:rowOff>0</xdr:rowOff>
    </xdr:from>
    <xdr:to>
      <xdr:col>3</xdr:col>
      <xdr:colOff>104775</xdr:colOff>
      <xdr:row>41</xdr:row>
      <xdr:rowOff>0</xdr:rowOff>
    </xdr:to>
    <xdr:sp macro="" textlink="">
      <xdr:nvSpPr>
        <xdr:cNvPr id="7183" name="Объект 8"/>
        <xdr:cNvSpPr>
          <a:spLocks/>
        </xdr:cNvSpPr>
      </xdr:nvSpPr>
      <xdr:spPr bwMode="auto">
        <a:xfrm>
          <a:off x="1409700" y="74199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41</xdr:row>
      <xdr:rowOff>0</xdr:rowOff>
    </xdr:from>
    <xdr:to>
      <xdr:col>4</xdr:col>
      <xdr:colOff>152400</xdr:colOff>
      <xdr:row>41</xdr:row>
      <xdr:rowOff>0</xdr:rowOff>
    </xdr:to>
    <xdr:sp macro="" textlink="">
      <xdr:nvSpPr>
        <xdr:cNvPr id="7184" name="Объект 8"/>
        <xdr:cNvSpPr>
          <a:spLocks/>
        </xdr:cNvSpPr>
      </xdr:nvSpPr>
      <xdr:spPr bwMode="auto">
        <a:xfrm>
          <a:off x="1857375" y="74199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76</xdr:row>
      <xdr:rowOff>104775</xdr:rowOff>
    </xdr:from>
    <xdr:to>
      <xdr:col>3</xdr:col>
      <xdr:colOff>85725</xdr:colOff>
      <xdr:row>76</xdr:row>
      <xdr:rowOff>152400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4924425" y="179736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76</xdr:row>
      <xdr:rowOff>104775</xdr:rowOff>
    </xdr:from>
    <xdr:to>
      <xdr:col>3</xdr:col>
      <xdr:colOff>666750</xdr:colOff>
      <xdr:row>76</xdr:row>
      <xdr:rowOff>152400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5505450" y="179736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77</xdr:row>
      <xdr:rowOff>114300</xdr:rowOff>
    </xdr:from>
    <xdr:to>
      <xdr:col>3</xdr:col>
      <xdr:colOff>85725</xdr:colOff>
      <xdr:row>77</xdr:row>
      <xdr:rowOff>161925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4924425" y="181927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609600</xdr:colOff>
      <xdr:row>77</xdr:row>
      <xdr:rowOff>114300</xdr:rowOff>
    </xdr:from>
    <xdr:to>
      <xdr:col>3</xdr:col>
      <xdr:colOff>676275</xdr:colOff>
      <xdr:row>77</xdr:row>
      <xdr:rowOff>161925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5514975" y="181927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81</xdr:row>
      <xdr:rowOff>76200</xdr:rowOff>
    </xdr:from>
    <xdr:to>
      <xdr:col>3</xdr:col>
      <xdr:colOff>85725</xdr:colOff>
      <xdr:row>81</xdr:row>
      <xdr:rowOff>123825</xdr:rowOff>
    </xdr:to>
    <xdr:sp macro="" textlink="">
      <xdr:nvSpPr>
        <xdr:cNvPr id="6" name="Объект 5"/>
        <xdr:cNvSpPr>
          <a:spLocks/>
        </xdr:cNvSpPr>
      </xdr:nvSpPr>
      <xdr:spPr bwMode="auto">
        <a:xfrm>
          <a:off x="4924425" y="189928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81</xdr:row>
      <xdr:rowOff>104775</xdr:rowOff>
    </xdr:from>
    <xdr:to>
      <xdr:col>3</xdr:col>
      <xdr:colOff>666750</xdr:colOff>
      <xdr:row>81</xdr:row>
      <xdr:rowOff>152400</xdr:rowOff>
    </xdr:to>
    <xdr:sp macro="" textlink="">
      <xdr:nvSpPr>
        <xdr:cNvPr id="7" name="Объект 7"/>
        <xdr:cNvSpPr>
          <a:spLocks/>
        </xdr:cNvSpPr>
      </xdr:nvSpPr>
      <xdr:spPr bwMode="auto">
        <a:xfrm>
          <a:off x="5505450" y="190214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82</xdr:row>
      <xdr:rowOff>76200</xdr:rowOff>
    </xdr:from>
    <xdr:to>
      <xdr:col>3</xdr:col>
      <xdr:colOff>104775</xdr:colOff>
      <xdr:row>82</xdr:row>
      <xdr:rowOff>123825</xdr:rowOff>
    </xdr:to>
    <xdr:sp macro="" textlink="">
      <xdr:nvSpPr>
        <xdr:cNvPr id="8" name="Объект 8"/>
        <xdr:cNvSpPr>
          <a:spLocks/>
        </xdr:cNvSpPr>
      </xdr:nvSpPr>
      <xdr:spPr bwMode="auto">
        <a:xfrm>
          <a:off x="4943475" y="192024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619125</xdr:colOff>
      <xdr:row>82</xdr:row>
      <xdr:rowOff>95250</xdr:rowOff>
    </xdr:from>
    <xdr:to>
      <xdr:col>3</xdr:col>
      <xdr:colOff>685800</xdr:colOff>
      <xdr:row>82</xdr:row>
      <xdr:rowOff>142875</xdr:rowOff>
    </xdr:to>
    <xdr:sp macro="" textlink="">
      <xdr:nvSpPr>
        <xdr:cNvPr id="9" name="Объект 8"/>
        <xdr:cNvSpPr>
          <a:spLocks/>
        </xdr:cNvSpPr>
      </xdr:nvSpPr>
      <xdr:spPr bwMode="auto">
        <a:xfrm>
          <a:off x="5524500" y="192214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90</xdr:row>
      <xdr:rowOff>0</xdr:rowOff>
    </xdr:from>
    <xdr:to>
      <xdr:col>3</xdr:col>
      <xdr:colOff>85725</xdr:colOff>
      <xdr:row>90</xdr:row>
      <xdr:rowOff>0</xdr:rowOff>
    </xdr:to>
    <xdr:sp macro="" textlink="">
      <xdr:nvSpPr>
        <xdr:cNvPr id="10" name="Объект 5"/>
        <xdr:cNvSpPr>
          <a:spLocks/>
        </xdr:cNvSpPr>
      </xdr:nvSpPr>
      <xdr:spPr bwMode="auto">
        <a:xfrm>
          <a:off x="4924425" y="210121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90</xdr:row>
      <xdr:rowOff>0</xdr:rowOff>
    </xdr:from>
    <xdr:to>
      <xdr:col>4</xdr:col>
      <xdr:colOff>123825</xdr:colOff>
      <xdr:row>90</xdr:row>
      <xdr:rowOff>0</xdr:rowOff>
    </xdr:to>
    <xdr:sp macro="" textlink="">
      <xdr:nvSpPr>
        <xdr:cNvPr id="11" name="Объект 7"/>
        <xdr:cNvSpPr>
          <a:spLocks/>
        </xdr:cNvSpPr>
      </xdr:nvSpPr>
      <xdr:spPr bwMode="auto">
        <a:xfrm>
          <a:off x="5715000" y="210121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90</xdr:row>
      <xdr:rowOff>0</xdr:rowOff>
    </xdr:from>
    <xdr:to>
      <xdr:col>3</xdr:col>
      <xdr:colOff>104775</xdr:colOff>
      <xdr:row>90</xdr:row>
      <xdr:rowOff>0</xdr:rowOff>
    </xdr:to>
    <xdr:sp macro="" textlink="">
      <xdr:nvSpPr>
        <xdr:cNvPr id="12" name="Объект 8"/>
        <xdr:cNvSpPr>
          <a:spLocks/>
        </xdr:cNvSpPr>
      </xdr:nvSpPr>
      <xdr:spPr bwMode="auto">
        <a:xfrm>
          <a:off x="4943475" y="210121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90</xdr:row>
      <xdr:rowOff>0</xdr:rowOff>
    </xdr:from>
    <xdr:to>
      <xdr:col>4</xdr:col>
      <xdr:colOff>152400</xdr:colOff>
      <xdr:row>90</xdr:row>
      <xdr:rowOff>0</xdr:rowOff>
    </xdr:to>
    <xdr:sp macro="" textlink="">
      <xdr:nvSpPr>
        <xdr:cNvPr id="13" name="Объект 8"/>
        <xdr:cNvSpPr>
          <a:spLocks/>
        </xdr:cNvSpPr>
      </xdr:nvSpPr>
      <xdr:spPr bwMode="auto">
        <a:xfrm>
          <a:off x="5743575" y="210121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163</xdr:row>
      <xdr:rowOff>104775</xdr:rowOff>
    </xdr:from>
    <xdr:to>
      <xdr:col>3</xdr:col>
      <xdr:colOff>85725</xdr:colOff>
      <xdr:row>163</xdr:row>
      <xdr:rowOff>152400</xdr:rowOff>
    </xdr:to>
    <xdr:sp macro="" textlink="">
      <xdr:nvSpPr>
        <xdr:cNvPr id="14" name="Объект 5"/>
        <xdr:cNvSpPr>
          <a:spLocks/>
        </xdr:cNvSpPr>
      </xdr:nvSpPr>
      <xdr:spPr bwMode="auto">
        <a:xfrm>
          <a:off x="4924425" y="374904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163</xdr:row>
      <xdr:rowOff>104775</xdr:rowOff>
    </xdr:from>
    <xdr:to>
      <xdr:col>3</xdr:col>
      <xdr:colOff>666750</xdr:colOff>
      <xdr:row>163</xdr:row>
      <xdr:rowOff>152400</xdr:rowOff>
    </xdr:to>
    <xdr:sp macro="" textlink="">
      <xdr:nvSpPr>
        <xdr:cNvPr id="15" name="Объект 7"/>
        <xdr:cNvSpPr>
          <a:spLocks/>
        </xdr:cNvSpPr>
      </xdr:nvSpPr>
      <xdr:spPr bwMode="auto">
        <a:xfrm>
          <a:off x="5505450" y="374904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164</xdr:row>
      <xdr:rowOff>114300</xdr:rowOff>
    </xdr:from>
    <xdr:to>
      <xdr:col>3</xdr:col>
      <xdr:colOff>85725</xdr:colOff>
      <xdr:row>164</xdr:row>
      <xdr:rowOff>161925</xdr:rowOff>
    </xdr:to>
    <xdr:sp macro="" textlink="">
      <xdr:nvSpPr>
        <xdr:cNvPr id="16" name="Объект 8"/>
        <xdr:cNvSpPr>
          <a:spLocks/>
        </xdr:cNvSpPr>
      </xdr:nvSpPr>
      <xdr:spPr bwMode="auto">
        <a:xfrm>
          <a:off x="4924425" y="377094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609600</xdr:colOff>
      <xdr:row>164</xdr:row>
      <xdr:rowOff>114300</xdr:rowOff>
    </xdr:from>
    <xdr:to>
      <xdr:col>3</xdr:col>
      <xdr:colOff>676275</xdr:colOff>
      <xdr:row>164</xdr:row>
      <xdr:rowOff>161925</xdr:rowOff>
    </xdr:to>
    <xdr:sp macro="" textlink="">
      <xdr:nvSpPr>
        <xdr:cNvPr id="17" name="Объект 8"/>
        <xdr:cNvSpPr>
          <a:spLocks/>
        </xdr:cNvSpPr>
      </xdr:nvSpPr>
      <xdr:spPr bwMode="auto">
        <a:xfrm>
          <a:off x="5514975" y="377094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168</xdr:row>
      <xdr:rowOff>76200</xdr:rowOff>
    </xdr:from>
    <xdr:to>
      <xdr:col>3</xdr:col>
      <xdr:colOff>85725</xdr:colOff>
      <xdr:row>168</xdr:row>
      <xdr:rowOff>123825</xdr:rowOff>
    </xdr:to>
    <xdr:sp macro="" textlink="">
      <xdr:nvSpPr>
        <xdr:cNvPr id="18" name="Объект 5"/>
        <xdr:cNvSpPr>
          <a:spLocks/>
        </xdr:cNvSpPr>
      </xdr:nvSpPr>
      <xdr:spPr bwMode="auto">
        <a:xfrm>
          <a:off x="4924425" y="385095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168</xdr:row>
      <xdr:rowOff>104775</xdr:rowOff>
    </xdr:from>
    <xdr:to>
      <xdr:col>3</xdr:col>
      <xdr:colOff>666750</xdr:colOff>
      <xdr:row>168</xdr:row>
      <xdr:rowOff>152400</xdr:rowOff>
    </xdr:to>
    <xdr:sp macro="" textlink="">
      <xdr:nvSpPr>
        <xdr:cNvPr id="19" name="Объект 7"/>
        <xdr:cNvSpPr>
          <a:spLocks/>
        </xdr:cNvSpPr>
      </xdr:nvSpPr>
      <xdr:spPr bwMode="auto">
        <a:xfrm>
          <a:off x="5505450" y="385381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169</xdr:row>
      <xdr:rowOff>76200</xdr:rowOff>
    </xdr:from>
    <xdr:to>
      <xdr:col>3</xdr:col>
      <xdr:colOff>104775</xdr:colOff>
      <xdr:row>169</xdr:row>
      <xdr:rowOff>123825</xdr:rowOff>
    </xdr:to>
    <xdr:sp macro="" textlink="">
      <xdr:nvSpPr>
        <xdr:cNvPr id="20" name="Объект 8"/>
        <xdr:cNvSpPr>
          <a:spLocks/>
        </xdr:cNvSpPr>
      </xdr:nvSpPr>
      <xdr:spPr bwMode="auto">
        <a:xfrm>
          <a:off x="4943475" y="387191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619125</xdr:colOff>
      <xdr:row>169</xdr:row>
      <xdr:rowOff>95250</xdr:rowOff>
    </xdr:from>
    <xdr:to>
      <xdr:col>3</xdr:col>
      <xdr:colOff>685800</xdr:colOff>
      <xdr:row>169</xdr:row>
      <xdr:rowOff>142875</xdr:rowOff>
    </xdr:to>
    <xdr:sp macro="" textlink="">
      <xdr:nvSpPr>
        <xdr:cNvPr id="21" name="Объект 8"/>
        <xdr:cNvSpPr>
          <a:spLocks/>
        </xdr:cNvSpPr>
      </xdr:nvSpPr>
      <xdr:spPr bwMode="auto">
        <a:xfrm>
          <a:off x="5524500" y="387381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177</xdr:row>
      <xdr:rowOff>0</xdr:rowOff>
    </xdr:from>
    <xdr:to>
      <xdr:col>3</xdr:col>
      <xdr:colOff>85725</xdr:colOff>
      <xdr:row>177</xdr:row>
      <xdr:rowOff>0</xdr:rowOff>
    </xdr:to>
    <xdr:sp macro="" textlink="">
      <xdr:nvSpPr>
        <xdr:cNvPr id="22" name="Объект 5"/>
        <xdr:cNvSpPr>
          <a:spLocks/>
        </xdr:cNvSpPr>
      </xdr:nvSpPr>
      <xdr:spPr bwMode="auto">
        <a:xfrm>
          <a:off x="4924425" y="403288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177</xdr:row>
      <xdr:rowOff>0</xdr:rowOff>
    </xdr:from>
    <xdr:to>
      <xdr:col>4</xdr:col>
      <xdr:colOff>123825</xdr:colOff>
      <xdr:row>177</xdr:row>
      <xdr:rowOff>0</xdr:rowOff>
    </xdr:to>
    <xdr:sp macro="" textlink="">
      <xdr:nvSpPr>
        <xdr:cNvPr id="23" name="Объект 7"/>
        <xdr:cNvSpPr>
          <a:spLocks/>
        </xdr:cNvSpPr>
      </xdr:nvSpPr>
      <xdr:spPr bwMode="auto">
        <a:xfrm>
          <a:off x="5715000" y="403288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177</xdr:row>
      <xdr:rowOff>0</xdr:rowOff>
    </xdr:from>
    <xdr:to>
      <xdr:col>3</xdr:col>
      <xdr:colOff>104775</xdr:colOff>
      <xdr:row>177</xdr:row>
      <xdr:rowOff>0</xdr:rowOff>
    </xdr:to>
    <xdr:sp macro="" textlink="">
      <xdr:nvSpPr>
        <xdr:cNvPr id="24" name="Объект 8"/>
        <xdr:cNvSpPr>
          <a:spLocks/>
        </xdr:cNvSpPr>
      </xdr:nvSpPr>
      <xdr:spPr bwMode="auto">
        <a:xfrm>
          <a:off x="4943475" y="403288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177</xdr:row>
      <xdr:rowOff>0</xdr:rowOff>
    </xdr:from>
    <xdr:to>
      <xdr:col>4</xdr:col>
      <xdr:colOff>152400</xdr:colOff>
      <xdr:row>177</xdr:row>
      <xdr:rowOff>0</xdr:rowOff>
    </xdr:to>
    <xdr:sp macro="" textlink="">
      <xdr:nvSpPr>
        <xdr:cNvPr id="25" name="Объект 8"/>
        <xdr:cNvSpPr>
          <a:spLocks/>
        </xdr:cNvSpPr>
      </xdr:nvSpPr>
      <xdr:spPr bwMode="auto">
        <a:xfrm>
          <a:off x="5743575" y="403288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163</xdr:row>
      <xdr:rowOff>104775</xdr:rowOff>
    </xdr:from>
    <xdr:to>
      <xdr:col>3</xdr:col>
      <xdr:colOff>85725</xdr:colOff>
      <xdr:row>163</xdr:row>
      <xdr:rowOff>152400</xdr:rowOff>
    </xdr:to>
    <xdr:sp macro="" textlink="">
      <xdr:nvSpPr>
        <xdr:cNvPr id="26" name="Объект 5"/>
        <xdr:cNvSpPr>
          <a:spLocks/>
        </xdr:cNvSpPr>
      </xdr:nvSpPr>
      <xdr:spPr bwMode="auto">
        <a:xfrm>
          <a:off x="4924425" y="374904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163</xdr:row>
      <xdr:rowOff>104775</xdr:rowOff>
    </xdr:from>
    <xdr:to>
      <xdr:col>3</xdr:col>
      <xdr:colOff>666750</xdr:colOff>
      <xdr:row>163</xdr:row>
      <xdr:rowOff>152400</xdr:rowOff>
    </xdr:to>
    <xdr:sp macro="" textlink="">
      <xdr:nvSpPr>
        <xdr:cNvPr id="27" name="Объект 7"/>
        <xdr:cNvSpPr>
          <a:spLocks/>
        </xdr:cNvSpPr>
      </xdr:nvSpPr>
      <xdr:spPr bwMode="auto">
        <a:xfrm>
          <a:off x="5505450" y="374904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164</xdr:row>
      <xdr:rowOff>114300</xdr:rowOff>
    </xdr:from>
    <xdr:to>
      <xdr:col>3</xdr:col>
      <xdr:colOff>85725</xdr:colOff>
      <xdr:row>164</xdr:row>
      <xdr:rowOff>161925</xdr:rowOff>
    </xdr:to>
    <xdr:sp macro="" textlink="">
      <xdr:nvSpPr>
        <xdr:cNvPr id="28" name="Объект 8"/>
        <xdr:cNvSpPr>
          <a:spLocks/>
        </xdr:cNvSpPr>
      </xdr:nvSpPr>
      <xdr:spPr bwMode="auto">
        <a:xfrm>
          <a:off x="4924425" y="377094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609600</xdr:colOff>
      <xdr:row>164</xdr:row>
      <xdr:rowOff>114300</xdr:rowOff>
    </xdr:from>
    <xdr:to>
      <xdr:col>3</xdr:col>
      <xdr:colOff>676275</xdr:colOff>
      <xdr:row>164</xdr:row>
      <xdr:rowOff>161925</xdr:rowOff>
    </xdr:to>
    <xdr:sp macro="" textlink="">
      <xdr:nvSpPr>
        <xdr:cNvPr id="29" name="Объект 8"/>
        <xdr:cNvSpPr>
          <a:spLocks/>
        </xdr:cNvSpPr>
      </xdr:nvSpPr>
      <xdr:spPr bwMode="auto">
        <a:xfrm>
          <a:off x="5514975" y="377094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168</xdr:row>
      <xdr:rowOff>76200</xdr:rowOff>
    </xdr:from>
    <xdr:to>
      <xdr:col>3</xdr:col>
      <xdr:colOff>85725</xdr:colOff>
      <xdr:row>168</xdr:row>
      <xdr:rowOff>123825</xdr:rowOff>
    </xdr:to>
    <xdr:sp macro="" textlink="">
      <xdr:nvSpPr>
        <xdr:cNvPr id="30" name="Объект 5"/>
        <xdr:cNvSpPr>
          <a:spLocks/>
        </xdr:cNvSpPr>
      </xdr:nvSpPr>
      <xdr:spPr bwMode="auto">
        <a:xfrm>
          <a:off x="4924425" y="385095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168</xdr:row>
      <xdr:rowOff>104775</xdr:rowOff>
    </xdr:from>
    <xdr:to>
      <xdr:col>3</xdr:col>
      <xdr:colOff>666750</xdr:colOff>
      <xdr:row>168</xdr:row>
      <xdr:rowOff>152400</xdr:rowOff>
    </xdr:to>
    <xdr:sp macro="" textlink="">
      <xdr:nvSpPr>
        <xdr:cNvPr id="31" name="Объект 7"/>
        <xdr:cNvSpPr>
          <a:spLocks/>
        </xdr:cNvSpPr>
      </xdr:nvSpPr>
      <xdr:spPr bwMode="auto">
        <a:xfrm>
          <a:off x="5505450" y="385381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169</xdr:row>
      <xdr:rowOff>76200</xdr:rowOff>
    </xdr:from>
    <xdr:to>
      <xdr:col>3</xdr:col>
      <xdr:colOff>104775</xdr:colOff>
      <xdr:row>169</xdr:row>
      <xdr:rowOff>123825</xdr:rowOff>
    </xdr:to>
    <xdr:sp macro="" textlink="">
      <xdr:nvSpPr>
        <xdr:cNvPr id="32" name="Объект 8"/>
        <xdr:cNvSpPr>
          <a:spLocks/>
        </xdr:cNvSpPr>
      </xdr:nvSpPr>
      <xdr:spPr bwMode="auto">
        <a:xfrm>
          <a:off x="4943475" y="387191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619125</xdr:colOff>
      <xdr:row>169</xdr:row>
      <xdr:rowOff>95250</xdr:rowOff>
    </xdr:from>
    <xdr:to>
      <xdr:col>3</xdr:col>
      <xdr:colOff>685800</xdr:colOff>
      <xdr:row>169</xdr:row>
      <xdr:rowOff>142875</xdr:rowOff>
    </xdr:to>
    <xdr:sp macro="" textlink="">
      <xdr:nvSpPr>
        <xdr:cNvPr id="33" name="Объект 8"/>
        <xdr:cNvSpPr>
          <a:spLocks/>
        </xdr:cNvSpPr>
      </xdr:nvSpPr>
      <xdr:spPr bwMode="auto">
        <a:xfrm>
          <a:off x="5524500" y="387381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6.86.109\&#1086;&#1090;&#1076;&#1077;&#1083;%20&#1090;&#1088;&#1072;&#1085;&#1089;&#1087;&#1086;&#1088;&#1090;&#1072;%20&#1101;&#1083;&#1077;&#1082;&#1090;&#1088;&#1086;&#1101;&#1085;&#1077;&#1088;&#1075;&#1080;&#1080;\&#1057;&#1090;&#1072;&#1088;&#1086;&#1074;&#1086;&#1081;&#1090;&#1086;&#1074;%20&#1057;.&#1070;\&#1047;&#1072;&#1084;&#1077;&#1088;&#1099;\27.%20&#1047;&#1080;&#1084;&#1085;&#1080;&#1077;%20&#1079;&#1072;&#1084;&#1077;&#1088;&#1099;%2018.12.2024\&#1047;&#1072;&#1084;&#1077;&#1088;&#1099;%20&#1085;&#1072;%20&#1086;&#1090;&#1087;&#1088;&#1072;&#1074;&#1082;&#1091;\&#1069;&#1085;&#1077;&#1088;&#1075;&#1086;&#1082;&#1086;&#1084;&#1087;&#1083;&#1077;&#1082;&#1089;\18.12%20&#1055;&#1086;&#1083;&#1085;&#1086;&#1074;&#1072;&#109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6.86.109\&#1086;&#1090;&#1076;&#1077;&#1083;%20&#1090;&#1088;&#1072;&#1085;&#1089;&#1087;&#1086;&#1088;&#1090;&#1072;%20&#1101;&#1083;&#1077;&#1082;&#1090;&#1088;&#1086;&#1101;&#1085;&#1077;&#1088;&#1075;&#1080;&#1080;\&#1057;&#1090;&#1072;&#1088;&#1086;&#1074;&#1086;&#1081;&#1090;&#1086;&#1074;%20&#1057;.&#1070;\&#1047;&#1072;&#1084;&#1077;&#1088;&#1099;\27.%20&#1047;&#1080;&#1084;&#1085;&#1080;&#1077;%20&#1079;&#1072;&#1084;&#1077;&#1088;&#1099;%2018.12.2024\&#1047;&#1072;&#1084;&#1077;&#1088;&#1099;%20&#1085;&#1072;%20&#1086;&#1090;&#1087;&#1088;&#1072;&#1074;&#1082;&#1091;\&#1069;&#1085;&#1077;&#1088;&#1075;&#1086;&#1082;&#1086;&#1084;&#1087;&#1083;&#1077;&#1082;&#1089;\18.12%20&#1064;&#1077;&#1088;&#1082;&#1072;&#1083;&#109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6.86.109\&#1086;&#1090;&#1076;&#1077;&#1083;%20&#1090;&#1088;&#1072;&#1085;&#1089;&#1087;&#1086;&#1088;&#1090;&#1072;%20&#1101;&#1083;&#1077;&#1082;&#1090;&#1088;&#1086;&#1101;&#1085;&#1077;&#1088;&#1075;&#1080;&#1080;\&#1057;&#1090;&#1072;&#1088;&#1086;&#1074;&#1086;&#1081;&#1090;&#1086;&#1074;%20&#1057;.&#1070;\&#1047;&#1072;&#1084;&#1077;&#1088;&#1099;\27.%20&#1047;&#1080;&#1084;&#1085;&#1080;&#1077;%20&#1079;&#1072;&#1084;&#1077;&#1088;&#1099;%2018.12.2024\&#1047;&#1072;&#1084;&#1077;&#1088;&#1099;%20&#1085;&#1072;%20&#1086;&#1090;&#1087;&#1088;&#1072;&#1074;&#1082;&#1091;\&#1053;&#1102;&#1069;&#1057;\&#1087;&#1088;&#1080;&#1083;&#1086;&#1078;&#1077;&#1085;&#1080;&#1077;%20(&#1085;&#1072;%20&#1086;&#1090;&#1087;&#1088;&#1072;&#1074;&#1082;&#10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erverReportInfo_&amp;!()$bbQ"/>
      <sheetName val="Главная"/>
      <sheetName val="Описание"/>
    </sheetNames>
    <sheetDataSet>
      <sheetData sheetId="0"/>
      <sheetData sheetId="1">
        <row r="6">
          <cell r="A6" t="str">
            <v xml:space="preserve">Линия 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 t="str">
            <v>Сумма</v>
          </cell>
          <cell r="AA6" t="str">
            <v>Мин</v>
          </cell>
          <cell r="AB6" t="str">
            <v>Макс</v>
          </cell>
          <cell r="AD6" t="str">
            <v>1 час</v>
          </cell>
          <cell r="AE6" t="str">
            <v>2 час</v>
          </cell>
          <cell r="AF6" t="str">
            <v>3 час</v>
          </cell>
          <cell r="AG6" t="str">
            <v>4 час</v>
          </cell>
          <cell r="AH6" t="str">
            <v>5 час</v>
          </cell>
          <cell r="AI6" t="str">
            <v>6 час</v>
          </cell>
          <cell r="AJ6" t="str">
            <v>7 час</v>
          </cell>
          <cell r="AK6" t="str">
            <v>8 час</v>
          </cell>
          <cell r="AL6" t="str">
            <v>9 час</v>
          </cell>
          <cell r="AM6" t="str">
            <v>10 час</v>
          </cell>
          <cell r="AN6" t="str">
            <v>11 час</v>
          </cell>
          <cell r="AO6" t="str">
            <v>12 час</v>
          </cell>
          <cell r="AP6" t="str">
            <v>13 час</v>
          </cell>
          <cell r="AQ6" t="str">
            <v>14 час</v>
          </cell>
          <cell r="AR6" t="str">
            <v>15 час</v>
          </cell>
          <cell r="AS6" t="str">
            <v>16 час</v>
          </cell>
          <cell r="AT6" t="str">
            <v>17 час</v>
          </cell>
          <cell r="AU6" t="str">
            <v>18 час</v>
          </cell>
          <cell r="AV6" t="str">
            <v>19 час</v>
          </cell>
          <cell r="AW6" t="str">
            <v>20 час</v>
          </cell>
          <cell r="AX6" t="str">
            <v>21 час</v>
          </cell>
          <cell r="AY6" t="str">
            <v>22 час</v>
          </cell>
          <cell r="AZ6" t="str">
            <v>23 час</v>
          </cell>
          <cell r="BA6" t="str">
            <v>00 час</v>
          </cell>
        </row>
        <row r="14">
          <cell r="A14" t="str">
            <v>ОПУ . ТСН-1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</row>
        <row r="15">
          <cell r="A15" t="str">
            <v>ОПУ . ТСН-2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</row>
        <row r="16">
          <cell r="A16" t="str">
            <v>РУ-10кВ яч.5 ф. "РММ"</v>
          </cell>
          <cell r="B16">
            <v>42.3</v>
          </cell>
          <cell r="C16">
            <v>42</v>
          </cell>
          <cell r="D16">
            <v>41.4</v>
          </cell>
          <cell r="E16">
            <v>41.7</v>
          </cell>
          <cell r="F16">
            <v>41.4</v>
          </cell>
          <cell r="G16">
            <v>42</v>
          </cell>
          <cell r="H16">
            <v>45.9</v>
          </cell>
          <cell r="I16">
            <v>44.7</v>
          </cell>
          <cell r="J16">
            <v>45.9</v>
          </cell>
          <cell r="K16">
            <v>45.3</v>
          </cell>
          <cell r="L16">
            <v>46.2</v>
          </cell>
          <cell r="M16">
            <v>45.6</v>
          </cell>
          <cell r="N16">
            <v>45.900000000000006</v>
          </cell>
          <cell r="O16">
            <v>45</v>
          </cell>
          <cell r="P16">
            <v>47.4</v>
          </cell>
          <cell r="Q16">
            <v>51</v>
          </cell>
          <cell r="R16">
            <v>47.7</v>
          </cell>
          <cell r="S16">
            <v>48.3</v>
          </cell>
          <cell r="T16">
            <v>47.099999999999994</v>
          </cell>
          <cell r="U16">
            <v>48.6</v>
          </cell>
          <cell r="V16">
            <v>50.4</v>
          </cell>
          <cell r="W16">
            <v>47.7</v>
          </cell>
          <cell r="X16">
            <v>43.2</v>
          </cell>
          <cell r="Y16">
            <v>42.3</v>
          </cell>
          <cell r="Z16">
            <v>1089</v>
          </cell>
          <cell r="AA16">
            <v>41.4</v>
          </cell>
          <cell r="AB16">
            <v>51</v>
          </cell>
          <cell r="AD16">
            <v>42.3</v>
          </cell>
          <cell r="AE16">
            <v>42</v>
          </cell>
          <cell r="AF16">
            <v>41.4</v>
          </cell>
          <cell r="AG16">
            <v>41.7</v>
          </cell>
          <cell r="AH16">
            <v>41.4</v>
          </cell>
          <cell r="AI16">
            <v>42</v>
          </cell>
          <cell r="AJ16">
            <v>45.9</v>
          </cell>
          <cell r="AK16">
            <v>44.7</v>
          </cell>
          <cell r="AL16">
            <v>45.9</v>
          </cell>
          <cell r="AM16">
            <v>45.3</v>
          </cell>
          <cell r="AN16">
            <v>46.2</v>
          </cell>
          <cell r="AO16">
            <v>45.6</v>
          </cell>
          <cell r="AP16">
            <v>45.900000000000006</v>
          </cell>
          <cell r="AQ16">
            <v>45</v>
          </cell>
          <cell r="AR16">
            <v>47.4</v>
          </cell>
          <cell r="AS16">
            <v>51</v>
          </cell>
          <cell r="AT16">
            <v>47.7</v>
          </cell>
          <cell r="AU16">
            <v>48.3</v>
          </cell>
          <cell r="AV16">
            <v>47.099999999999994</v>
          </cell>
          <cell r="AW16">
            <v>48.6</v>
          </cell>
          <cell r="AX16">
            <v>50.4</v>
          </cell>
          <cell r="AY16">
            <v>47.7</v>
          </cell>
          <cell r="AZ16">
            <v>43.2</v>
          </cell>
          <cell r="BA16">
            <v>42.3</v>
          </cell>
        </row>
        <row r="17">
          <cell r="A17" t="str">
            <v>РУ-10кВ яч.6 ф. "Поселок"</v>
          </cell>
          <cell r="B17">
            <v>242.4</v>
          </cell>
          <cell r="C17">
            <v>231.9</v>
          </cell>
          <cell r="D17">
            <v>222.6</v>
          </cell>
          <cell r="E17">
            <v>222.9</v>
          </cell>
          <cell r="F17">
            <v>222.9</v>
          </cell>
          <cell r="G17">
            <v>234</v>
          </cell>
          <cell r="H17">
            <v>288.89999999999998</v>
          </cell>
          <cell r="I17">
            <v>315.89999999999998</v>
          </cell>
          <cell r="J17">
            <v>335.1</v>
          </cell>
          <cell r="K17">
            <v>349.5</v>
          </cell>
          <cell r="L17">
            <v>331.2</v>
          </cell>
          <cell r="M17">
            <v>322.5</v>
          </cell>
          <cell r="N17">
            <v>307.8</v>
          </cell>
          <cell r="O17">
            <v>302.10000000000002</v>
          </cell>
          <cell r="P17">
            <v>301.5</v>
          </cell>
          <cell r="Q17">
            <v>310.5</v>
          </cell>
          <cell r="R17">
            <v>349.5</v>
          </cell>
          <cell r="S17">
            <v>343.5</v>
          </cell>
          <cell r="T17">
            <v>333</v>
          </cell>
          <cell r="U17">
            <v>325.5</v>
          </cell>
          <cell r="V17">
            <v>323.10000000000002</v>
          </cell>
          <cell r="W17">
            <v>319.79999999999995</v>
          </cell>
          <cell r="X17">
            <v>307.5</v>
          </cell>
          <cell r="Y17">
            <v>282</v>
          </cell>
          <cell r="Z17">
            <v>7125.6</v>
          </cell>
          <cell r="AA17">
            <v>222.6</v>
          </cell>
          <cell r="AB17">
            <v>349.5</v>
          </cell>
          <cell r="AD17">
            <v>242.4</v>
          </cell>
          <cell r="AE17">
            <v>231.9</v>
          </cell>
          <cell r="AF17">
            <v>222.6</v>
          </cell>
          <cell r="AG17">
            <v>222.9</v>
          </cell>
          <cell r="AH17">
            <v>222.9</v>
          </cell>
          <cell r="AI17">
            <v>234</v>
          </cell>
          <cell r="AJ17">
            <v>288.89999999999998</v>
          </cell>
          <cell r="AK17">
            <v>315.89999999999998</v>
          </cell>
          <cell r="AL17">
            <v>335.1</v>
          </cell>
          <cell r="AM17">
            <v>349.5</v>
          </cell>
          <cell r="AN17">
            <v>331.2</v>
          </cell>
          <cell r="AO17">
            <v>322.5</v>
          </cell>
          <cell r="AP17">
            <v>307.8</v>
          </cell>
          <cell r="AQ17">
            <v>302.10000000000002</v>
          </cell>
          <cell r="AR17">
            <v>301.5</v>
          </cell>
          <cell r="AS17">
            <v>310.5</v>
          </cell>
          <cell r="AT17">
            <v>349.5</v>
          </cell>
          <cell r="AU17">
            <v>343.5</v>
          </cell>
          <cell r="AV17">
            <v>333</v>
          </cell>
          <cell r="AW17">
            <v>325.5</v>
          </cell>
          <cell r="AX17">
            <v>323.10000000000002</v>
          </cell>
          <cell r="AY17">
            <v>319.79999999999995</v>
          </cell>
          <cell r="AZ17">
            <v>307.5</v>
          </cell>
          <cell r="BA17">
            <v>282</v>
          </cell>
        </row>
        <row r="18">
          <cell r="A18" t="str">
            <v>РУ-10кВ яч.7 ф. "Больница"</v>
          </cell>
          <cell r="B18">
            <v>105.9</v>
          </cell>
          <cell r="C18">
            <v>114.30000000000001</v>
          </cell>
          <cell r="D18">
            <v>112.2</v>
          </cell>
          <cell r="E18">
            <v>108.30000000000001</v>
          </cell>
          <cell r="F18">
            <v>114</v>
          </cell>
          <cell r="G18">
            <v>117.9</v>
          </cell>
          <cell r="H18">
            <v>112.80000000000001</v>
          </cell>
          <cell r="I18">
            <v>116.1</v>
          </cell>
          <cell r="J18">
            <v>115.5</v>
          </cell>
          <cell r="K18">
            <v>126</v>
          </cell>
          <cell r="L18">
            <v>128.69999999999999</v>
          </cell>
          <cell r="M18">
            <v>118.2</v>
          </cell>
          <cell r="N18">
            <v>113.7</v>
          </cell>
          <cell r="O18">
            <v>108.6</v>
          </cell>
          <cell r="P18">
            <v>106.19999999999999</v>
          </cell>
          <cell r="Q18">
            <v>110.1</v>
          </cell>
          <cell r="R18">
            <v>108.6</v>
          </cell>
          <cell r="S18">
            <v>107.7</v>
          </cell>
          <cell r="T18">
            <v>110.1</v>
          </cell>
          <cell r="U18">
            <v>116.4</v>
          </cell>
          <cell r="V18">
            <v>113.1</v>
          </cell>
          <cell r="W18">
            <v>113.69999999999999</v>
          </cell>
          <cell r="X18">
            <v>124.5</v>
          </cell>
          <cell r="Y18">
            <v>113.69999999999999</v>
          </cell>
          <cell r="Z18">
            <v>2736.2999999999997</v>
          </cell>
          <cell r="AA18">
            <v>105.9</v>
          </cell>
          <cell r="AB18">
            <v>128.69999999999999</v>
          </cell>
          <cell r="AD18">
            <v>105.9</v>
          </cell>
          <cell r="AE18">
            <v>114.30000000000001</v>
          </cell>
          <cell r="AF18">
            <v>112.2</v>
          </cell>
          <cell r="AG18">
            <v>108.30000000000001</v>
          </cell>
          <cell r="AH18">
            <v>114</v>
          </cell>
          <cell r="AI18">
            <v>117.9</v>
          </cell>
          <cell r="AJ18">
            <v>112.80000000000001</v>
          </cell>
          <cell r="AK18">
            <v>116.1</v>
          </cell>
          <cell r="AL18">
            <v>115.5</v>
          </cell>
          <cell r="AM18">
            <v>126</v>
          </cell>
          <cell r="AN18">
            <v>128.69999999999999</v>
          </cell>
          <cell r="AO18">
            <v>118.2</v>
          </cell>
          <cell r="AP18">
            <v>113.7</v>
          </cell>
          <cell r="AQ18">
            <v>108.6</v>
          </cell>
          <cell r="AR18">
            <v>106.19999999999999</v>
          </cell>
          <cell r="AS18">
            <v>110.1</v>
          </cell>
          <cell r="AT18">
            <v>108.6</v>
          </cell>
          <cell r="AU18">
            <v>107.7</v>
          </cell>
          <cell r="AV18">
            <v>110.1</v>
          </cell>
          <cell r="AW18">
            <v>116.4</v>
          </cell>
          <cell r="AX18">
            <v>113.1</v>
          </cell>
          <cell r="AY18">
            <v>113.69999999999999</v>
          </cell>
          <cell r="AZ18">
            <v>124.5</v>
          </cell>
          <cell r="BA18">
            <v>113.69999999999999</v>
          </cell>
        </row>
        <row r="26">
          <cell r="A26" t="str">
            <v>ОПУ . ТСН-1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</row>
        <row r="27">
          <cell r="A27" t="str">
            <v>ОПУ . ТСН-2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</row>
        <row r="28">
          <cell r="A28" t="str">
            <v>РУ-10кВ яч.5 ф. "РММ"</v>
          </cell>
          <cell r="B28">
            <v>3.6</v>
          </cell>
          <cell r="C28">
            <v>3.9000000000000004</v>
          </cell>
          <cell r="D28">
            <v>3.9000000000000004</v>
          </cell>
          <cell r="E28">
            <v>3.6</v>
          </cell>
          <cell r="F28">
            <v>3.9000000000000004</v>
          </cell>
          <cell r="G28">
            <v>3.6</v>
          </cell>
          <cell r="H28">
            <v>3.9000000000000004</v>
          </cell>
          <cell r="I28">
            <v>3.3</v>
          </cell>
          <cell r="J28">
            <v>3.3</v>
          </cell>
          <cell r="K28">
            <v>2.7</v>
          </cell>
          <cell r="L28">
            <v>2.7</v>
          </cell>
          <cell r="M28">
            <v>3.3</v>
          </cell>
          <cell r="N28">
            <v>3</v>
          </cell>
          <cell r="O28">
            <v>3</v>
          </cell>
          <cell r="P28">
            <v>2.7</v>
          </cell>
          <cell r="Q28">
            <v>3.6</v>
          </cell>
          <cell r="R28">
            <v>3.6</v>
          </cell>
          <cell r="S28">
            <v>3.3</v>
          </cell>
          <cell r="T28">
            <v>3.3</v>
          </cell>
          <cell r="U28">
            <v>3.6</v>
          </cell>
          <cell r="V28">
            <v>3.9000000000000004</v>
          </cell>
          <cell r="W28">
            <v>3.3</v>
          </cell>
          <cell r="X28">
            <v>3.3</v>
          </cell>
          <cell r="Y28">
            <v>3.6</v>
          </cell>
          <cell r="Z28">
            <v>81.899999999999991</v>
          </cell>
          <cell r="AA28">
            <v>2.7</v>
          </cell>
          <cell r="AB28">
            <v>3.9000000000000004</v>
          </cell>
          <cell r="AD28">
            <v>3.6</v>
          </cell>
          <cell r="AE28">
            <v>3.9000000000000004</v>
          </cell>
          <cell r="AF28">
            <v>3.9000000000000004</v>
          </cell>
          <cell r="AG28">
            <v>3.6</v>
          </cell>
          <cell r="AH28">
            <v>3.9000000000000004</v>
          </cell>
          <cell r="AI28">
            <v>3.6</v>
          </cell>
          <cell r="AJ28">
            <v>3.9000000000000004</v>
          </cell>
          <cell r="AK28">
            <v>3.3</v>
          </cell>
          <cell r="AL28">
            <v>3.3</v>
          </cell>
          <cell r="AM28">
            <v>2.7</v>
          </cell>
          <cell r="AN28">
            <v>2.7</v>
          </cell>
          <cell r="AO28">
            <v>3.3</v>
          </cell>
          <cell r="AP28">
            <v>3</v>
          </cell>
          <cell r="AQ28">
            <v>3</v>
          </cell>
          <cell r="AR28">
            <v>2.7</v>
          </cell>
          <cell r="AS28">
            <v>3.6</v>
          </cell>
          <cell r="AT28">
            <v>3.6</v>
          </cell>
          <cell r="AU28">
            <v>3.3</v>
          </cell>
          <cell r="AV28">
            <v>3.3</v>
          </cell>
          <cell r="AW28">
            <v>3.6</v>
          </cell>
          <cell r="AX28">
            <v>3.9000000000000004</v>
          </cell>
          <cell r="AY28">
            <v>3.3</v>
          </cell>
          <cell r="AZ28">
            <v>3.3</v>
          </cell>
          <cell r="BA28">
            <v>3.6</v>
          </cell>
        </row>
        <row r="29">
          <cell r="A29" t="str">
            <v>РУ-10кВ яч.6 ф. "Поселок"</v>
          </cell>
          <cell r="B29">
            <v>45.599999999999994</v>
          </cell>
          <cell r="C29">
            <v>45.900000000000006</v>
          </cell>
          <cell r="D29">
            <v>44.099999999999994</v>
          </cell>
          <cell r="E29">
            <v>43.8</v>
          </cell>
          <cell r="F29">
            <v>40.799999999999997</v>
          </cell>
          <cell r="G29">
            <v>49.8</v>
          </cell>
          <cell r="H29">
            <v>59.099999999999994</v>
          </cell>
          <cell r="I29">
            <v>58.2</v>
          </cell>
          <cell r="J29">
            <v>57.6</v>
          </cell>
          <cell r="K29">
            <v>47.7</v>
          </cell>
          <cell r="L29">
            <v>42.9</v>
          </cell>
          <cell r="M29">
            <v>48</v>
          </cell>
          <cell r="N29">
            <v>40.5</v>
          </cell>
          <cell r="O29">
            <v>43.5</v>
          </cell>
          <cell r="P29">
            <v>39.6</v>
          </cell>
          <cell r="Q29">
            <v>40.5</v>
          </cell>
          <cell r="R29">
            <v>58.800000000000004</v>
          </cell>
          <cell r="S29">
            <v>64.800000000000011</v>
          </cell>
          <cell r="T29">
            <v>63.900000000000006</v>
          </cell>
          <cell r="U29">
            <v>66.900000000000006</v>
          </cell>
          <cell r="V29">
            <v>59.400000000000006</v>
          </cell>
          <cell r="W29">
            <v>63</v>
          </cell>
          <cell r="X29">
            <v>60.599999999999994</v>
          </cell>
          <cell r="Y29">
            <v>60</v>
          </cell>
          <cell r="Z29">
            <v>1245</v>
          </cell>
          <cell r="AA29">
            <v>39.6</v>
          </cell>
          <cell r="AB29">
            <v>66.900000000000006</v>
          </cell>
          <cell r="AD29">
            <v>45.599999999999994</v>
          </cell>
          <cell r="AE29">
            <v>45.900000000000006</v>
          </cell>
          <cell r="AF29">
            <v>44.099999999999994</v>
          </cell>
          <cell r="AG29">
            <v>43.8</v>
          </cell>
          <cell r="AH29">
            <v>40.799999999999997</v>
          </cell>
          <cell r="AI29">
            <v>49.8</v>
          </cell>
          <cell r="AJ29">
            <v>59.099999999999994</v>
          </cell>
          <cell r="AK29">
            <v>58.2</v>
          </cell>
          <cell r="AL29">
            <v>57.6</v>
          </cell>
          <cell r="AM29">
            <v>47.7</v>
          </cell>
          <cell r="AN29">
            <v>42.9</v>
          </cell>
          <cell r="AO29">
            <v>48</v>
          </cell>
          <cell r="AP29">
            <v>40.5</v>
          </cell>
          <cell r="AQ29">
            <v>43.5</v>
          </cell>
          <cell r="AR29">
            <v>39.6</v>
          </cell>
          <cell r="AS29">
            <v>40.5</v>
          </cell>
          <cell r="AT29">
            <v>58.800000000000004</v>
          </cell>
          <cell r="AU29">
            <v>64.800000000000011</v>
          </cell>
          <cell r="AV29">
            <v>63.900000000000006</v>
          </cell>
          <cell r="AW29">
            <v>66.900000000000006</v>
          </cell>
          <cell r="AX29">
            <v>59.400000000000006</v>
          </cell>
          <cell r="AY29">
            <v>63</v>
          </cell>
          <cell r="AZ29">
            <v>60.599999999999994</v>
          </cell>
          <cell r="BA29">
            <v>60</v>
          </cell>
        </row>
        <row r="30">
          <cell r="A30" t="str">
            <v>РУ-10кВ яч.7 ф. "Больница"</v>
          </cell>
          <cell r="B30">
            <v>19.2</v>
          </cell>
          <cell r="C30">
            <v>19.799999999999997</v>
          </cell>
          <cell r="D30">
            <v>19.5</v>
          </cell>
          <cell r="E30">
            <v>18.899999999999999</v>
          </cell>
          <cell r="F30">
            <v>19.799999999999997</v>
          </cell>
          <cell r="G30">
            <v>19.2</v>
          </cell>
          <cell r="H30">
            <v>17.7</v>
          </cell>
          <cell r="I30">
            <v>18.600000000000001</v>
          </cell>
          <cell r="J30">
            <v>19.8</v>
          </cell>
          <cell r="K30">
            <v>24.6</v>
          </cell>
          <cell r="L30">
            <v>26.4</v>
          </cell>
          <cell r="M30">
            <v>21</v>
          </cell>
          <cell r="N30">
            <v>21</v>
          </cell>
          <cell r="O30">
            <v>20.7</v>
          </cell>
          <cell r="P30">
            <v>19.5</v>
          </cell>
          <cell r="Q30">
            <v>20.399999999999999</v>
          </cell>
          <cell r="R30">
            <v>20.700000000000003</v>
          </cell>
          <cell r="S30">
            <v>18.3</v>
          </cell>
          <cell r="T30">
            <v>18.600000000000001</v>
          </cell>
          <cell r="U30">
            <v>18.600000000000001</v>
          </cell>
          <cell r="V30">
            <v>20.399999999999999</v>
          </cell>
          <cell r="W30">
            <v>21.6</v>
          </cell>
          <cell r="X30">
            <v>18</v>
          </cell>
          <cell r="Y30">
            <v>20.399999999999999</v>
          </cell>
          <cell r="Z30">
            <v>482.7</v>
          </cell>
          <cell r="AA30">
            <v>17.7</v>
          </cell>
          <cell r="AB30">
            <v>26.4</v>
          </cell>
          <cell r="AD30">
            <v>19.2</v>
          </cell>
          <cell r="AE30">
            <v>19.799999999999997</v>
          </cell>
          <cell r="AF30">
            <v>19.5</v>
          </cell>
          <cell r="AG30">
            <v>18.899999999999999</v>
          </cell>
          <cell r="AH30">
            <v>19.799999999999997</v>
          </cell>
          <cell r="AI30">
            <v>19.2</v>
          </cell>
          <cell r="AJ30">
            <v>17.7</v>
          </cell>
          <cell r="AK30">
            <v>18.600000000000001</v>
          </cell>
          <cell r="AL30">
            <v>19.8</v>
          </cell>
          <cell r="AM30">
            <v>24.6</v>
          </cell>
          <cell r="AN30">
            <v>26.4</v>
          </cell>
          <cell r="AO30">
            <v>21</v>
          </cell>
          <cell r="AP30">
            <v>21</v>
          </cell>
          <cell r="AQ30">
            <v>20.7</v>
          </cell>
          <cell r="AR30">
            <v>19.5</v>
          </cell>
          <cell r="AS30">
            <v>20.399999999999999</v>
          </cell>
          <cell r="AT30">
            <v>20.700000000000003</v>
          </cell>
          <cell r="AU30">
            <v>18.3</v>
          </cell>
          <cell r="AV30">
            <v>18.600000000000001</v>
          </cell>
          <cell r="AW30">
            <v>18.600000000000001</v>
          </cell>
          <cell r="AX30">
            <v>20.399999999999999</v>
          </cell>
          <cell r="AY30">
            <v>21.6</v>
          </cell>
          <cell r="AZ30">
            <v>18</v>
          </cell>
          <cell r="BA30">
            <v>20.399999999999999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erverReportInfo_&amp;!()$bbQ"/>
      <sheetName val="Главная"/>
      <sheetName val="Описание"/>
    </sheetNames>
    <sheetDataSet>
      <sheetData sheetId="0"/>
      <sheetData sheetId="1">
        <row r="6">
          <cell r="A6" t="str">
            <v xml:space="preserve">Линия 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 t="str">
            <v>Сумма</v>
          </cell>
          <cell r="AA6" t="str">
            <v>Мин</v>
          </cell>
          <cell r="AB6" t="str">
            <v>Макс</v>
          </cell>
          <cell r="AD6" t="str">
            <v>1 час</v>
          </cell>
          <cell r="AE6" t="str">
            <v>2 час</v>
          </cell>
          <cell r="AF6" t="str">
            <v>3 час</v>
          </cell>
          <cell r="AG6" t="str">
            <v>4 час</v>
          </cell>
          <cell r="AH6" t="str">
            <v>5 час</v>
          </cell>
          <cell r="AI6" t="str">
            <v>6 час</v>
          </cell>
          <cell r="AJ6" t="str">
            <v>7 час</v>
          </cell>
          <cell r="AK6" t="str">
            <v>8 час</v>
          </cell>
          <cell r="AL6" t="str">
            <v>9 час</v>
          </cell>
          <cell r="AM6" t="str">
            <v>10 час</v>
          </cell>
          <cell r="AN6" t="str">
            <v>11 час</v>
          </cell>
          <cell r="AO6" t="str">
            <v>12 час</v>
          </cell>
          <cell r="AP6" t="str">
            <v>13 час</v>
          </cell>
          <cell r="AQ6" t="str">
            <v>14 час</v>
          </cell>
          <cell r="AR6" t="str">
            <v>15 час</v>
          </cell>
          <cell r="AS6" t="str">
            <v>16 час</v>
          </cell>
          <cell r="AT6" t="str">
            <v>17 час</v>
          </cell>
          <cell r="AU6" t="str">
            <v>18 час</v>
          </cell>
          <cell r="AV6" t="str">
            <v>19 час</v>
          </cell>
          <cell r="AW6" t="str">
            <v>20 час</v>
          </cell>
          <cell r="AX6" t="str">
            <v>21 час</v>
          </cell>
          <cell r="AY6" t="str">
            <v>22 час</v>
          </cell>
          <cell r="AZ6" t="str">
            <v>23 час</v>
          </cell>
          <cell r="BA6" t="str">
            <v>00 час</v>
          </cell>
        </row>
        <row r="14">
          <cell r="A14" t="str">
            <v>ОПУ . ТСН-1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-9.6239999999999988</v>
          </cell>
          <cell r="AE14">
            <v>-9.5519999999999996</v>
          </cell>
          <cell r="AF14">
            <v>-9.6959999999999997</v>
          </cell>
          <cell r="AG14">
            <v>-9.6720000000000006</v>
          </cell>
          <cell r="AH14">
            <v>-9.6720000000000006</v>
          </cell>
          <cell r="AI14">
            <v>-9.9600000000000009</v>
          </cell>
          <cell r="AJ14">
            <v>-10.176</v>
          </cell>
          <cell r="AK14">
            <v>-10.32</v>
          </cell>
          <cell r="AL14">
            <v>-10.344000000000001</v>
          </cell>
          <cell r="AM14">
            <v>-10.248000000000001</v>
          </cell>
          <cell r="AN14">
            <v>-10.199999999999999</v>
          </cell>
          <cell r="AO14">
            <v>-10.128</v>
          </cell>
          <cell r="AP14">
            <v>-9.84</v>
          </cell>
          <cell r="AQ14">
            <v>-9.7199999999999989</v>
          </cell>
          <cell r="AR14">
            <v>-9.911999999999999</v>
          </cell>
          <cell r="AS14">
            <v>-9.7680000000000007</v>
          </cell>
          <cell r="AT14">
            <v>-9.84</v>
          </cell>
          <cell r="AU14">
            <v>-9.4559999999999995</v>
          </cell>
          <cell r="AV14">
            <v>-9.911999999999999</v>
          </cell>
          <cell r="AW14">
            <v>-9.7439999999999998</v>
          </cell>
          <cell r="AX14">
            <v>-9.7439999999999998</v>
          </cell>
          <cell r="AY14">
            <v>-9.7919999999999998</v>
          </cell>
          <cell r="AZ14">
            <v>-9.7680000000000007</v>
          </cell>
          <cell r="BA14">
            <v>-9.7199999999999989</v>
          </cell>
        </row>
        <row r="15">
          <cell r="A15" t="str">
            <v>ОПУ . ТСН-2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-10.920000000000002</v>
          </cell>
          <cell r="AE15">
            <v>-10.992000000000001</v>
          </cell>
          <cell r="AF15">
            <v>-11.064</v>
          </cell>
          <cell r="AG15">
            <v>-11.016</v>
          </cell>
          <cell r="AH15">
            <v>-10.992000000000001</v>
          </cell>
          <cell r="AI15">
            <v>-11.207999999999998</v>
          </cell>
          <cell r="AJ15">
            <v>-11.256</v>
          </cell>
          <cell r="AK15">
            <v>-11.183999999999999</v>
          </cell>
          <cell r="AL15">
            <v>-11.135999999999999</v>
          </cell>
          <cell r="AM15">
            <v>-11.016</v>
          </cell>
          <cell r="AN15">
            <v>-10.872</v>
          </cell>
          <cell r="AO15">
            <v>-10.416</v>
          </cell>
          <cell r="AP15">
            <v>-9.6</v>
          </cell>
          <cell r="AQ15">
            <v>-9.6720000000000006</v>
          </cell>
          <cell r="AR15">
            <v>-9.5279999999999987</v>
          </cell>
          <cell r="AS15">
            <v>-9.4319999999999986</v>
          </cell>
          <cell r="AT15">
            <v>-9.7439999999999998</v>
          </cell>
          <cell r="AU15">
            <v>-9.8159999999999989</v>
          </cell>
          <cell r="AV15">
            <v>-10.368</v>
          </cell>
          <cell r="AW15">
            <v>-10.8</v>
          </cell>
          <cell r="AX15">
            <v>-10.968</v>
          </cell>
          <cell r="AY15">
            <v>-10.656000000000001</v>
          </cell>
          <cell r="AZ15">
            <v>-10.968</v>
          </cell>
          <cell r="BA15">
            <v>-11.064</v>
          </cell>
        </row>
        <row r="16">
          <cell r="A16" t="str">
            <v>РУ-10кВ яч.№3 ф."Посёлок"</v>
          </cell>
          <cell r="B16">
            <v>200</v>
          </cell>
          <cell r="C16">
            <v>196</v>
          </cell>
          <cell r="D16">
            <v>191.60000000000002</v>
          </cell>
          <cell r="E16">
            <v>188.2</v>
          </cell>
          <cell r="F16">
            <v>187.2</v>
          </cell>
          <cell r="G16">
            <v>189</v>
          </cell>
          <cell r="H16">
            <v>202.39999999999998</v>
          </cell>
          <cell r="I16">
            <v>210.6</v>
          </cell>
          <cell r="J16">
            <v>205.4</v>
          </cell>
          <cell r="K16">
            <v>209.8</v>
          </cell>
          <cell r="L16">
            <v>203.60000000000002</v>
          </cell>
          <cell r="M16">
            <v>200.6</v>
          </cell>
          <cell r="N16">
            <v>202.6</v>
          </cell>
          <cell r="O16">
            <v>204.60000000000002</v>
          </cell>
          <cell r="P16">
            <v>204.6</v>
          </cell>
          <cell r="Q16">
            <v>215</v>
          </cell>
          <cell r="R16">
            <v>225.8</v>
          </cell>
          <cell r="S16">
            <v>227.8</v>
          </cell>
          <cell r="T16">
            <v>231</v>
          </cell>
          <cell r="U16">
            <v>228.4</v>
          </cell>
          <cell r="V16">
            <v>224.6</v>
          </cell>
          <cell r="W16">
            <v>219.2</v>
          </cell>
          <cell r="X16">
            <v>207.2</v>
          </cell>
          <cell r="Y16">
            <v>199</v>
          </cell>
          <cell r="Z16">
            <v>4974.2</v>
          </cell>
          <cell r="AA16">
            <v>187.2</v>
          </cell>
          <cell r="AB16">
            <v>231</v>
          </cell>
          <cell r="AD16">
            <v>200</v>
          </cell>
          <cell r="AE16">
            <v>196</v>
          </cell>
          <cell r="AF16">
            <v>191.60000000000002</v>
          </cell>
          <cell r="AG16">
            <v>188.2</v>
          </cell>
          <cell r="AH16">
            <v>187.2</v>
          </cell>
          <cell r="AI16">
            <v>189</v>
          </cell>
          <cell r="AJ16">
            <v>202.39999999999998</v>
          </cell>
          <cell r="AK16">
            <v>210.6</v>
          </cell>
          <cell r="AL16">
            <v>205.4</v>
          </cell>
          <cell r="AM16">
            <v>209.8</v>
          </cell>
          <cell r="AN16">
            <v>203.60000000000002</v>
          </cell>
          <cell r="AO16">
            <v>200.6</v>
          </cell>
          <cell r="AP16">
            <v>202.6</v>
          </cell>
          <cell r="AQ16">
            <v>204.60000000000002</v>
          </cell>
          <cell r="AR16">
            <v>204.6</v>
          </cell>
          <cell r="AS16">
            <v>215</v>
          </cell>
          <cell r="AT16">
            <v>225.8</v>
          </cell>
          <cell r="AU16">
            <v>227.8</v>
          </cell>
          <cell r="AV16">
            <v>231</v>
          </cell>
          <cell r="AW16">
            <v>228.4</v>
          </cell>
          <cell r="AX16">
            <v>224.6</v>
          </cell>
          <cell r="AY16">
            <v>219.2</v>
          </cell>
          <cell r="AZ16">
            <v>207.2</v>
          </cell>
          <cell r="BA16">
            <v>199</v>
          </cell>
        </row>
        <row r="17">
          <cell r="A17" t="str">
            <v>РУ-10кВ яч.№4 ф."ЛЗУ"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</row>
        <row r="18">
          <cell r="A18" t="str">
            <v>РУ-10кВ яч.№16 ф."Быстрый"</v>
          </cell>
          <cell r="B18">
            <v>144.80000000000001</v>
          </cell>
          <cell r="C18">
            <v>144.4</v>
          </cell>
          <cell r="D18">
            <v>144</v>
          </cell>
          <cell r="E18">
            <v>144</v>
          </cell>
          <cell r="F18">
            <v>146</v>
          </cell>
          <cell r="G18">
            <v>152.39999999999998</v>
          </cell>
          <cell r="H18">
            <v>166.4</v>
          </cell>
          <cell r="I18">
            <v>176.6</v>
          </cell>
          <cell r="J18">
            <v>185.2</v>
          </cell>
          <cell r="K18">
            <v>195.2</v>
          </cell>
          <cell r="L18">
            <v>196.8</v>
          </cell>
          <cell r="M18">
            <v>190.6</v>
          </cell>
          <cell r="N18">
            <v>188.4</v>
          </cell>
          <cell r="O18">
            <v>183.6</v>
          </cell>
          <cell r="P18">
            <v>179.39999999999998</v>
          </cell>
          <cell r="Q18">
            <v>171.8</v>
          </cell>
          <cell r="R18">
            <v>180.2</v>
          </cell>
          <cell r="S18">
            <v>179.39999999999998</v>
          </cell>
          <cell r="T18">
            <v>165.6</v>
          </cell>
          <cell r="U18">
            <v>163.19999999999999</v>
          </cell>
          <cell r="V18">
            <v>160.19999999999999</v>
          </cell>
          <cell r="W18">
            <v>154.6</v>
          </cell>
          <cell r="X18">
            <v>146.19999999999999</v>
          </cell>
          <cell r="Y18">
            <v>139.80000000000001</v>
          </cell>
          <cell r="Z18">
            <v>3998.7999999999993</v>
          </cell>
          <cell r="AA18">
            <v>139.80000000000001</v>
          </cell>
          <cell r="AB18">
            <v>196.8</v>
          </cell>
          <cell r="AD18">
            <v>144.80000000000001</v>
          </cell>
          <cell r="AE18">
            <v>144.4</v>
          </cell>
          <cell r="AF18">
            <v>144</v>
          </cell>
          <cell r="AG18">
            <v>144</v>
          </cell>
          <cell r="AH18">
            <v>146</v>
          </cell>
          <cell r="AI18">
            <v>152.39999999999998</v>
          </cell>
          <cell r="AJ18">
            <v>166.4</v>
          </cell>
          <cell r="AK18">
            <v>176.6</v>
          </cell>
          <cell r="AL18">
            <v>185.2</v>
          </cell>
          <cell r="AM18">
            <v>195.2</v>
          </cell>
          <cell r="AN18">
            <v>196.8</v>
          </cell>
          <cell r="AO18">
            <v>190.6</v>
          </cell>
          <cell r="AP18">
            <v>188.4</v>
          </cell>
          <cell r="AQ18">
            <v>183.6</v>
          </cell>
          <cell r="AR18">
            <v>179.39999999999998</v>
          </cell>
          <cell r="AS18">
            <v>171.8</v>
          </cell>
          <cell r="AT18">
            <v>180.2</v>
          </cell>
          <cell r="AU18">
            <v>179.39999999999998</v>
          </cell>
          <cell r="AV18">
            <v>165.6</v>
          </cell>
          <cell r="AW18">
            <v>163.19999999999999</v>
          </cell>
          <cell r="AX18">
            <v>160.19999999999999</v>
          </cell>
          <cell r="AY18">
            <v>154.6</v>
          </cell>
          <cell r="AZ18">
            <v>146.19999999999999</v>
          </cell>
          <cell r="BA18">
            <v>139.80000000000001</v>
          </cell>
        </row>
        <row r="26">
          <cell r="A26" t="str">
            <v>ОПУ . ТСН-1</v>
          </cell>
          <cell r="B26">
            <v>1.6800000000000002</v>
          </cell>
          <cell r="C26">
            <v>1.5840000000000001</v>
          </cell>
          <cell r="D26">
            <v>1.6320000000000001</v>
          </cell>
          <cell r="E26">
            <v>1.6320000000000001</v>
          </cell>
          <cell r="F26">
            <v>1.7040000000000002</v>
          </cell>
          <cell r="G26">
            <v>1.488</v>
          </cell>
          <cell r="H26">
            <v>1.2960000000000003</v>
          </cell>
          <cell r="I26">
            <v>1.2240000000000002</v>
          </cell>
          <cell r="J26">
            <v>1.2000000000000002</v>
          </cell>
          <cell r="K26">
            <v>1.2000000000000002</v>
          </cell>
          <cell r="L26">
            <v>1.32</v>
          </cell>
          <cell r="M26">
            <v>1.4159999999999999</v>
          </cell>
          <cell r="N26">
            <v>1.3440000000000001</v>
          </cell>
          <cell r="O26">
            <v>1.3920000000000001</v>
          </cell>
          <cell r="P26">
            <v>1.32</v>
          </cell>
          <cell r="Q26">
            <v>1.2000000000000002</v>
          </cell>
          <cell r="R26">
            <v>1.3440000000000001</v>
          </cell>
          <cell r="S26">
            <v>1.1280000000000001</v>
          </cell>
          <cell r="T26">
            <v>1.1040000000000001</v>
          </cell>
          <cell r="U26">
            <v>1.272</v>
          </cell>
          <cell r="V26">
            <v>1.1280000000000001</v>
          </cell>
          <cell r="W26">
            <v>1.056</v>
          </cell>
          <cell r="X26">
            <v>1.1760000000000002</v>
          </cell>
          <cell r="Y26">
            <v>1.1760000000000002</v>
          </cell>
          <cell r="Z26">
            <v>32.016000000000005</v>
          </cell>
          <cell r="AA26">
            <v>1.056</v>
          </cell>
          <cell r="AB26">
            <v>1.7040000000000002</v>
          </cell>
          <cell r="AD26">
            <v>1.6800000000000002</v>
          </cell>
          <cell r="AE26">
            <v>1.5840000000000001</v>
          </cell>
          <cell r="AF26">
            <v>1.6320000000000001</v>
          </cell>
          <cell r="AG26">
            <v>1.6320000000000001</v>
          </cell>
          <cell r="AH26">
            <v>1.7040000000000002</v>
          </cell>
          <cell r="AI26">
            <v>1.488</v>
          </cell>
          <cell r="AJ26">
            <v>1.2960000000000003</v>
          </cell>
          <cell r="AK26">
            <v>1.2240000000000002</v>
          </cell>
          <cell r="AL26">
            <v>1.2000000000000002</v>
          </cell>
          <cell r="AM26">
            <v>1.2000000000000002</v>
          </cell>
          <cell r="AN26">
            <v>1.32</v>
          </cell>
          <cell r="AO26">
            <v>1.4159999999999999</v>
          </cell>
          <cell r="AP26">
            <v>1.3440000000000001</v>
          </cell>
          <cell r="AQ26">
            <v>1.3920000000000001</v>
          </cell>
          <cell r="AR26">
            <v>1.32</v>
          </cell>
          <cell r="AS26">
            <v>1.2000000000000002</v>
          </cell>
          <cell r="AT26">
            <v>1.3440000000000001</v>
          </cell>
          <cell r="AU26">
            <v>1.1280000000000001</v>
          </cell>
          <cell r="AV26">
            <v>1.1040000000000001</v>
          </cell>
          <cell r="AW26">
            <v>1.272</v>
          </cell>
          <cell r="AX26">
            <v>1.1280000000000001</v>
          </cell>
          <cell r="AY26">
            <v>1.032</v>
          </cell>
          <cell r="AZ26">
            <v>1.1760000000000002</v>
          </cell>
          <cell r="BA26">
            <v>1.1760000000000002</v>
          </cell>
        </row>
        <row r="27">
          <cell r="A27" t="str">
            <v>ОПУ . ТСН-2</v>
          </cell>
          <cell r="B27">
            <v>7.2000000000000008E-2</v>
          </cell>
          <cell r="C27">
            <v>4.8000000000000001E-2</v>
          </cell>
          <cell r="D27">
            <v>7.2000000000000008E-2</v>
          </cell>
          <cell r="E27">
            <v>7.2000000000000008E-2</v>
          </cell>
          <cell r="F27">
            <v>7.2000000000000008E-2</v>
          </cell>
          <cell r="G27">
            <v>7.2000000000000008E-2</v>
          </cell>
          <cell r="H27">
            <v>2.4E-2</v>
          </cell>
          <cell r="I27">
            <v>2.4E-2</v>
          </cell>
          <cell r="J27">
            <v>4.8000000000000001E-2</v>
          </cell>
          <cell r="K27">
            <v>4.8000000000000001E-2</v>
          </cell>
          <cell r="L27">
            <v>2.4E-2</v>
          </cell>
          <cell r="M27">
            <v>0.26400000000000001</v>
          </cell>
          <cell r="N27">
            <v>0.69600000000000006</v>
          </cell>
          <cell r="O27">
            <v>0.69600000000000006</v>
          </cell>
          <cell r="P27">
            <v>0.79200000000000004</v>
          </cell>
          <cell r="Q27">
            <v>0.81600000000000006</v>
          </cell>
          <cell r="R27">
            <v>0.84000000000000008</v>
          </cell>
          <cell r="S27">
            <v>0.96000000000000008</v>
          </cell>
          <cell r="T27">
            <v>0.24000000000000002</v>
          </cell>
          <cell r="U27">
            <v>9.6000000000000002E-2</v>
          </cell>
          <cell r="V27">
            <v>0.28800000000000003</v>
          </cell>
          <cell r="W27">
            <v>0.24000000000000002</v>
          </cell>
          <cell r="X27">
            <v>0.31200000000000006</v>
          </cell>
          <cell r="Y27">
            <v>0.26400000000000001</v>
          </cell>
          <cell r="Z27">
            <v>7.080000000000001</v>
          </cell>
          <cell r="AA27">
            <v>2.4E-2</v>
          </cell>
          <cell r="AB27">
            <v>0.96000000000000008</v>
          </cell>
          <cell r="AD27">
            <v>-0.16800000000000001</v>
          </cell>
          <cell r="AE27">
            <v>-0.14400000000000002</v>
          </cell>
          <cell r="AF27">
            <v>-0.12</v>
          </cell>
          <cell r="AG27">
            <v>-0.12</v>
          </cell>
          <cell r="AH27">
            <v>-0.16800000000000001</v>
          </cell>
          <cell r="AI27">
            <v>-0.12</v>
          </cell>
          <cell r="AJ27">
            <v>-0.19200000000000003</v>
          </cell>
          <cell r="AK27">
            <v>-0.24000000000000002</v>
          </cell>
          <cell r="AL27">
            <v>-0.21600000000000003</v>
          </cell>
          <cell r="AM27">
            <v>-0.24000000000000005</v>
          </cell>
          <cell r="AN27">
            <v>-0.38400000000000001</v>
          </cell>
          <cell r="AO27">
            <v>-2.4000000000000021E-2</v>
          </cell>
          <cell r="AP27">
            <v>0.69600000000000006</v>
          </cell>
          <cell r="AQ27">
            <v>0.69600000000000006</v>
          </cell>
          <cell r="AR27">
            <v>0.79200000000000004</v>
          </cell>
          <cell r="AS27">
            <v>0.81600000000000006</v>
          </cell>
          <cell r="AT27">
            <v>0.84000000000000008</v>
          </cell>
          <cell r="AU27">
            <v>0.96000000000000008</v>
          </cell>
          <cell r="AV27">
            <v>2.3999999999999994E-2</v>
          </cell>
          <cell r="AW27">
            <v>-4.8000000000000015E-2</v>
          </cell>
          <cell r="AX27">
            <v>0.21600000000000003</v>
          </cell>
          <cell r="AY27">
            <v>0.192</v>
          </cell>
          <cell r="AZ27">
            <v>0.26400000000000007</v>
          </cell>
          <cell r="BA27">
            <v>0.192</v>
          </cell>
        </row>
        <row r="28">
          <cell r="A28" t="str">
            <v>РУ-10кВ яч.№3 ф."Посёлок"</v>
          </cell>
          <cell r="B28">
            <v>24.799999999999997</v>
          </cell>
          <cell r="C28">
            <v>22.799999999999997</v>
          </cell>
          <cell r="D28">
            <v>21.2</v>
          </cell>
          <cell r="E28">
            <v>21.2</v>
          </cell>
          <cell r="F28">
            <v>21</v>
          </cell>
          <cell r="G28">
            <v>19.399999999999999</v>
          </cell>
          <cell r="H28">
            <v>21</v>
          </cell>
          <cell r="I28">
            <v>19</v>
          </cell>
          <cell r="J28">
            <v>18.600000000000001</v>
          </cell>
          <cell r="K28">
            <v>21</v>
          </cell>
          <cell r="L28">
            <v>25.6</v>
          </cell>
          <cell r="M28">
            <v>25.200000000000003</v>
          </cell>
          <cell r="N28">
            <v>26</v>
          </cell>
          <cell r="O28">
            <v>25.2</v>
          </cell>
          <cell r="P28">
            <v>25.6</v>
          </cell>
          <cell r="Q28">
            <v>22.799999999999997</v>
          </cell>
          <cell r="R28">
            <v>21.6</v>
          </cell>
          <cell r="S28">
            <v>20.399999999999999</v>
          </cell>
          <cell r="T28">
            <v>20.799999999999997</v>
          </cell>
          <cell r="U28">
            <v>20.399999999999999</v>
          </cell>
          <cell r="V28">
            <v>22.6</v>
          </cell>
          <cell r="W28">
            <v>22</v>
          </cell>
          <cell r="X28">
            <v>24.4</v>
          </cell>
          <cell r="Y28">
            <v>24</v>
          </cell>
          <cell r="Z28">
            <v>536.6</v>
          </cell>
          <cell r="AA28">
            <v>18.600000000000001</v>
          </cell>
          <cell r="AB28">
            <v>26</v>
          </cell>
          <cell r="AD28">
            <v>24.799999999999997</v>
          </cell>
          <cell r="AE28">
            <v>22.799999999999997</v>
          </cell>
          <cell r="AF28">
            <v>21.2</v>
          </cell>
          <cell r="AG28">
            <v>21.2</v>
          </cell>
          <cell r="AH28">
            <v>21</v>
          </cell>
          <cell r="AI28">
            <v>19.399999999999999</v>
          </cell>
          <cell r="AJ28">
            <v>21</v>
          </cell>
          <cell r="AK28">
            <v>19</v>
          </cell>
          <cell r="AL28">
            <v>18.600000000000001</v>
          </cell>
          <cell r="AM28">
            <v>21</v>
          </cell>
          <cell r="AN28">
            <v>25.6</v>
          </cell>
          <cell r="AO28">
            <v>25.200000000000003</v>
          </cell>
          <cell r="AP28">
            <v>26</v>
          </cell>
          <cell r="AQ28">
            <v>25.2</v>
          </cell>
          <cell r="AR28">
            <v>25.6</v>
          </cell>
          <cell r="AS28">
            <v>22.799999999999997</v>
          </cell>
          <cell r="AT28">
            <v>21.6</v>
          </cell>
          <cell r="AU28">
            <v>20.399999999999999</v>
          </cell>
          <cell r="AV28">
            <v>20.799999999999997</v>
          </cell>
          <cell r="AW28">
            <v>20.399999999999999</v>
          </cell>
          <cell r="AX28">
            <v>22.6</v>
          </cell>
          <cell r="AY28">
            <v>22</v>
          </cell>
          <cell r="AZ28">
            <v>24.4</v>
          </cell>
          <cell r="BA28">
            <v>24</v>
          </cell>
        </row>
        <row r="29">
          <cell r="A29" t="str">
            <v>РУ-10кВ яч.№4 ф."ЛЗУ"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</row>
        <row r="30">
          <cell r="A30" t="str">
            <v>РУ-10кВ яч.№16 ф."Быстрый"</v>
          </cell>
          <cell r="B30">
            <v>24.2</v>
          </cell>
          <cell r="C30">
            <v>23.200000000000003</v>
          </cell>
          <cell r="D30">
            <v>24</v>
          </cell>
          <cell r="E30">
            <v>24.6</v>
          </cell>
          <cell r="F30">
            <v>23.8</v>
          </cell>
          <cell r="G30">
            <v>24</v>
          </cell>
          <cell r="H30">
            <v>23.6</v>
          </cell>
          <cell r="I30">
            <v>23.4</v>
          </cell>
          <cell r="J30">
            <v>24.4</v>
          </cell>
          <cell r="K30">
            <v>31.799999999999997</v>
          </cell>
          <cell r="L30">
            <v>37.4</v>
          </cell>
          <cell r="M30">
            <v>36</v>
          </cell>
          <cell r="N30">
            <v>36.599999999999994</v>
          </cell>
          <cell r="O30">
            <v>37.599999999999994</v>
          </cell>
          <cell r="P30">
            <v>32.799999999999997</v>
          </cell>
          <cell r="Q30">
            <v>23.4</v>
          </cell>
          <cell r="R30">
            <v>22.6</v>
          </cell>
          <cell r="S30">
            <v>23.200000000000003</v>
          </cell>
          <cell r="T30">
            <v>22</v>
          </cell>
          <cell r="U30">
            <v>22.6</v>
          </cell>
          <cell r="V30">
            <v>23</v>
          </cell>
          <cell r="W30">
            <v>22</v>
          </cell>
          <cell r="X30">
            <v>23.8</v>
          </cell>
          <cell r="Y30">
            <v>24.2</v>
          </cell>
          <cell r="Z30">
            <v>634.20000000000005</v>
          </cell>
          <cell r="AA30">
            <v>22</v>
          </cell>
          <cell r="AB30">
            <v>37.599999999999994</v>
          </cell>
          <cell r="AD30">
            <v>24.2</v>
          </cell>
          <cell r="AE30">
            <v>23.200000000000003</v>
          </cell>
          <cell r="AF30">
            <v>24</v>
          </cell>
          <cell r="AG30">
            <v>24.6</v>
          </cell>
          <cell r="AH30">
            <v>23.8</v>
          </cell>
          <cell r="AI30">
            <v>24</v>
          </cell>
          <cell r="AJ30">
            <v>23.6</v>
          </cell>
          <cell r="AK30">
            <v>23.4</v>
          </cell>
          <cell r="AL30">
            <v>24.4</v>
          </cell>
          <cell r="AM30">
            <v>31.799999999999997</v>
          </cell>
          <cell r="AN30">
            <v>37.4</v>
          </cell>
          <cell r="AO30">
            <v>36</v>
          </cell>
          <cell r="AP30">
            <v>36.599999999999994</v>
          </cell>
          <cell r="AQ30">
            <v>37.599999999999994</v>
          </cell>
          <cell r="AR30">
            <v>32.799999999999997</v>
          </cell>
          <cell r="AS30">
            <v>23.4</v>
          </cell>
          <cell r="AT30">
            <v>22.6</v>
          </cell>
          <cell r="AU30">
            <v>23.200000000000003</v>
          </cell>
          <cell r="AV30">
            <v>22</v>
          </cell>
          <cell r="AW30">
            <v>22.6</v>
          </cell>
          <cell r="AX30">
            <v>23</v>
          </cell>
          <cell r="AY30">
            <v>22</v>
          </cell>
          <cell r="AZ30">
            <v>23.8</v>
          </cell>
          <cell r="BA30">
            <v>24.2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2_Авангард"/>
      <sheetName val="Приложение 2_Западная"/>
      <sheetName val="Приложение 2_Самарово"/>
      <sheetName val="Приложение 2_ГИБДД"/>
      <sheetName val="Приложение 2_Ярки"/>
      <sheetName val="Приложение 9_АТАБ"/>
    </sheetNames>
    <sheetDataSet>
      <sheetData sheetId="0">
        <row r="3">
          <cell r="BZ3">
            <v>45644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8"/>
  <sheetViews>
    <sheetView showZeros="0" zoomScaleNormal="100" workbookViewId="0">
      <selection activeCell="S11" sqref="S11"/>
    </sheetView>
  </sheetViews>
  <sheetFormatPr defaultRowHeight="12.75" x14ac:dyDescent="0.2"/>
  <cols>
    <col min="1" max="1" width="3.28515625" customWidth="1"/>
    <col min="2" max="2" width="5.140625" customWidth="1"/>
    <col min="3" max="3" width="6.85546875" customWidth="1"/>
    <col min="4" max="4" width="6" customWidth="1"/>
    <col min="5" max="5" width="3" customWidth="1"/>
    <col min="6" max="6" width="5.140625" customWidth="1"/>
    <col min="7" max="7" width="3.85546875" customWidth="1"/>
    <col min="8" max="10" width="6.7109375" customWidth="1"/>
    <col min="11" max="11" width="7.42578125" customWidth="1"/>
    <col min="12" max="13" width="6.7109375" customWidth="1"/>
    <col min="14" max="14" width="7.7109375" customWidth="1"/>
    <col min="15" max="15" width="6.7109375" customWidth="1"/>
    <col min="16" max="16" width="8" customWidth="1"/>
    <col min="17" max="17" width="7.5703125" customWidth="1"/>
    <col min="18" max="18" width="6.5703125" customWidth="1"/>
    <col min="19" max="19" width="6.85546875" customWidth="1"/>
    <col min="20" max="21" width="8" customWidth="1"/>
  </cols>
  <sheetData>
    <row r="1" spans="1:19" ht="18" x14ac:dyDescent="0.25">
      <c r="C1" s="228" t="s">
        <v>61</v>
      </c>
      <c r="D1" s="227"/>
      <c r="H1" s="227"/>
      <c r="Q1" s="229" t="s">
        <v>60</v>
      </c>
    </row>
    <row r="2" spans="1:19" ht="14.25" x14ac:dyDescent="0.2">
      <c r="C2" s="83"/>
      <c r="D2" s="17"/>
      <c r="E2" s="17"/>
      <c r="F2" s="17"/>
    </row>
    <row r="3" spans="1:19" ht="18.75" thickBot="1" x14ac:dyDescent="0.3">
      <c r="B3" s="5"/>
      <c r="C3" s="81" t="s">
        <v>11</v>
      </c>
      <c r="D3" s="81"/>
      <c r="E3" s="81"/>
      <c r="F3" s="82"/>
      <c r="G3" s="81"/>
      <c r="H3" s="81"/>
      <c r="K3" s="222"/>
      <c r="L3" s="8"/>
      <c r="M3" s="8"/>
      <c r="N3" s="8"/>
      <c r="O3" s="8"/>
      <c r="P3" s="5"/>
      <c r="Q3" s="84" t="s">
        <v>3</v>
      </c>
      <c r="R3" s="2026">
        <v>45644</v>
      </c>
      <c r="S3" s="2026"/>
    </row>
    <row r="4" spans="1:19" ht="13.5" thickBot="1" x14ac:dyDescent="0.25">
      <c r="B4" s="5"/>
      <c r="C4" s="5"/>
      <c r="D4" s="5"/>
      <c r="E4" s="5"/>
      <c r="F4" s="5"/>
      <c r="G4" s="5"/>
      <c r="H4" s="5"/>
      <c r="I4" s="5"/>
      <c r="J4" s="5"/>
      <c r="K4" s="14"/>
      <c r="L4" s="5"/>
      <c r="M4" s="5"/>
    </row>
    <row r="5" spans="1:19" ht="13.5" thickBot="1" x14ac:dyDescent="0.25">
      <c r="A5" s="93" t="s">
        <v>12</v>
      </c>
      <c r="B5" s="99"/>
      <c r="C5" s="99"/>
      <c r="D5" s="100"/>
      <c r="E5" s="100"/>
      <c r="F5" s="101"/>
      <c r="G5" s="20"/>
      <c r="H5" s="1"/>
      <c r="I5" s="171">
        <v>1</v>
      </c>
      <c r="J5" s="172" t="s">
        <v>62</v>
      </c>
      <c r="K5" s="107"/>
      <c r="L5" s="193">
        <v>2</v>
      </c>
      <c r="M5" s="194" t="s">
        <v>62</v>
      </c>
      <c r="N5" s="195"/>
      <c r="O5" s="193" t="s">
        <v>64</v>
      </c>
      <c r="P5" s="194" t="s">
        <v>62</v>
      </c>
      <c r="Q5" s="195"/>
      <c r="R5" s="193">
        <v>24</v>
      </c>
      <c r="S5" s="106" t="s">
        <v>62</v>
      </c>
    </row>
    <row r="6" spans="1:19" x14ac:dyDescent="0.2">
      <c r="A6" s="93" t="s">
        <v>17</v>
      </c>
      <c r="B6" s="99"/>
      <c r="C6" s="102" t="s">
        <v>16</v>
      </c>
      <c r="D6" s="18"/>
      <c r="E6" s="18"/>
      <c r="F6" s="19"/>
      <c r="G6" s="19"/>
      <c r="H6" s="173" t="s">
        <v>4</v>
      </c>
      <c r="I6" s="174" t="s">
        <v>9</v>
      </c>
      <c r="J6" s="175" t="s">
        <v>10</v>
      </c>
      <c r="K6" s="90" t="s">
        <v>4</v>
      </c>
      <c r="L6" s="91" t="s">
        <v>9</v>
      </c>
      <c r="M6" s="92" t="s">
        <v>10</v>
      </c>
      <c r="N6" s="90" t="s">
        <v>4</v>
      </c>
      <c r="O6" s="91" t="s">
        <v>9</v>
      </c>
      <c r="P6" s="92" t="s">
        <v>10</v>
      </c>
      <c r="Q6" s="180" t="s">
        <v>4</v>
      </c>
      <c r="R6" s="91" t="s">
        <v>9</v>
      </c>
      <c r="S6" s="92" t="s">
        <v>10</v>
      </c>
    </row>
    <row r="7" spans="1:19" ht="13.5" thickBot="1" x14ac:dyDescent="0.25">
      <c r="A7" s="66" t="s">
        <v>18</v>
      </c>
      <c r="B7" s="71"/>
      <c r="C7" s="119" t="s">
        <v>28</v>
      </c>
      <c r="D7" s="5"/>
      <c r="E7" s="5"/>
      <c r="F7" s="8"/>
      <c r="G7" s="8"/>
      <c r="H7" s="176" t="s">
        <v>30</v>
      </c>
      <c r="I7" s="177" t="s">
        <v>31</v>
      </c>
      <c r="J7" s="178" t="s">
        <v>44</v>
      </c>
      <c r="K7" s="85" t="s">
        <v>30</v>
      </c>
      <c r="L7" s="86" t="s">
        <v>31</v>
      </c>
      <c r="M7" s="87" t="s">
        <v>44</v>
      </c>
      <c r="N7" s="85" t="s">
        <v>30</v>
      </c>
      <c r="O7" s="86" t="s">
        <v>31</v>
      </c>
      <c r="P7" s="87" t="s">
        <v>44</v>
      </c>
      <c r="Q7" s="85" t="s">
        <v>30</v>
      </c>
      <c r="R7" s="86" t="s">
        <v>31</v>
      </c>
      <c r="S7" s="87" t="s">
        <v>44</v>
      </c>
    </row>
    <row r="8" spans="1:19" x14ac:dyDescent="0.2">
      <c r="A8" s="93"/>
      <c r="B8" s="172"/>
      <c r="C8" s="210"/>
      <c r="D8" s="1"/>
      <c r="E8" s="2"/>
      <c r="F8" s="1" t="s">
        <v>49</v>
      </c>
      <c r="G8" s="3"/>
      <c r="H8" s="212"/>
      <c r="I8" s="212"/>
      <c r="J8" s="181"/>
      <c r="K8" s="211"/>
      <c r="L8" s="212"/>
      <c r="M8" s="181"/>
      <c r="N8" s="211"/>
      <c r="O8" s="212"/>
      <c r="P8" s="181"/>
      <c r="Q8" s="211"/>
      <c r="R8" s="212"/>
      <c r="S8" s="181"/>
    </row>
    <row r="9" spans="1:19" x14ac:dyDescent="0.2">
      <c r="A9" s="24"/>
      <c r="B9" s="6"/>
      <c r="D9" s="4"/>
      <c r="E9" s="5"/>
      <c r="F9" s="183" t="s">
        <v>33</v>
      </c>
      <c r="G9" s="34"/>
      <c r="H9" s="213"/>
      <c r="I9" s="125"/>
      <c r="J9" s="144"/>
      <c r="K9" s="143"/>
      <c r="L9" s="125"/>
      <c r="M9" s="144"/>
      <c r="N9" s="143"/>
      <c r="O9" s="125"/>
      <c r="P9" s="144"/>
      <c r="Q9" s="143"/>
      <c r="R9" s="125"/>
      <c r="S9" s="144"/>
    </row>
    <row r="10" spans="1:19" x14ac:dyDescent="0.2">
      <c r="A10" s="24"/>
      <c r="B10" s="42"/>
      <c r="D10" s="4" t="s">
        <v>13</v>
      </c>
      <c r="E10" s="5"/>
      <c r="F10" s="117" t="s">
        <v>36</v>
      </c>
      <c r="G10" s="6"/>
      <c r="H10" s="213"/>
      <c r="I10" s="140"/>
      <c r="J10" s="144"/>
      <c r="K10" s="143"/>
      <c r="L10" s="140"/>
      <c r="M10" s="144"/>
      <c r="N10" s="143"/>
      <c r="O10" s="140"/>
      <c r="P10" s="144"/>
      <c r="Q10" s="143"/>
      <c r="R10" s="140"/>
      <c r="S10" s="144"/>
    </row>
    <row r="11" spans="1:19" ht="13.5" customHeight="1" x14ac:dyDescent="0.2">
      <c r="A11" s="24"/>
      <c r="B11" s="43"/>
      <c r="D11" s="4"/>
      <c r="E11" s="5"/>
      <c r="F11" s="214" t="s">
        <v>34</v>
      </c>
      <c r="G11" s="34"/>
      <c r="H11" s="213"/>
      <c r="I11" s="140"/>
      <c r="J11" s="144"/>
      <c r="K11" s="143"/>
      <c r="L11" s="140"/>
      <c r="M11" s="144"/>
      <c r="N11" s="143"/>
      <c r="O11" s="140"/>
      <c r="P11" s="144"/>
      <c r="Q11" s="143"/>
      <c r="R11" s="140"/>
      <c r="S11" s="144"/>
    </row>
    <row r="12" spans="1:19" ht="13.5" customHeight="1" thickBot="1" x14ac:dyDescent="0.25">
      <c r="A12" s="24"/>
      <c r="B12" s="43"/>
      <c r="D12" s="4"/>
      <c r="E12" s="5"/>
      <c r="F12" s="215" t="s">
        <v>41</v>
      </c>
      <c r="G12" s="6"/>
      <c r="H12" s="213"/>
      <c r="I12" s="140"/>
      <c r="J12" s="144"/>
      <c r="K12" s="143"/>
      <c r="L12" s="140"/>
      <c r="M12" s="144"/>
      <c r="N12" s="143"/>
      <c r="O12" s="140"/>
      <c r="P12" s="144"/>
      <c r="Q12" s="143"/>
      <c r="R12" s="140"/>
      <c r="S12" s="144"/>
    </row>
    <row r="13" spans="1:19" ht="13.5" customHeight="1" thickBot="1" x14ac:dyDescent="0.25">
      <c r="A13" s="24"/>
      <c r="B13" s="43"/>
      <c r="D13" s="22" t="s">
        <v>39</v>
      </c>
      <c r="E13" s="21"/>
      <c r="F13" s="21"/>
      <c r="G13" s="23"/>
      <c r="H13" s="216"/>
      <c r="I13" s="217"/>
      <c r="J13" s="218"/>
      <c r="K13" s="219"/>
      <c r="L13" s="217"/>
      <c r="M13" s="218"/>
      <c r="N13" s="219"/>
      <c r="O13" s="217"/>
      <c r="P13" s="218"/>
      <c r="Q13" s="219"/>
      <c r="R13" s="217"/>
      <c r="S13" s="218"/>
    </row>
    <row r="14" spans="1:19" ht="13.5" customHeight="1" thickBot="1" x14ac:dyDescent="0.25">
      <c r="A14" s="24"/>
      <c r="B14" s="43"/>
      <c r="D14" s="4"/>
      <c r="E14" s="5"/>
      <c r="F14" s="4" t="s">
        <v>49</v>
      </c>
      <c r="G14" s="5"/>
      <c r="H14" s="213"/>
      <c r="I14" s="140"/>
      <c r="J14" s="144"/>
      <c r="K14" s="143"/>
      <c r="L14" s="140"/>
      <c r="M14" s="144"/>
      <c r="N14" s="143"/>
      <c r="O14" s="140"/>
      <c r="P14" s="144"/>
      <c r="Q14" s="143"/>
      <c r="R14" s="140"/>
      <c r="S14" s="144"/>
    </row>
    <row r="15" spans="1:19" x14ac:dyDescent="0.2">
      <c r="A15" s="4"/>
      <c r="B15" s="6" t="s">
        <v>0</v>
      </c>
      <c r="C15" s="45"/>
      <c r="D15" s="4"/>
      <c r="E15" s="6"/>
      <c r="F15" s="123" t="s">
        <v>33</v>
      </c>
      <c r="G15" s="60"/>
      <c r="H15" s="1"/>
      <c r="I15" s="148"/>
      <c r="J15" s="3"/>
      <c r="K15" s="1"/>
      <c r="L15" s="148"/>
      <c r="M15" s="3"/>
      <c r="N15" s="1"/>
      <c r="O15" s="148"/>
      <c r="P15" s="3"/>
      <c r="Q15" s="1"/>
      <c r="R15" s="148"/>
      <c r="S15" s="3"/>
    </row>
    <row r="16" spans="1:19" x14ac:dyDescent="0.2">
      <c r="A16" s="4"/>
      <c r="B16" s="6"/>
      <c r="C16" s="5"/>
      <c r="D16" s="4" t="s">
        <v>14</v>
      </c>
      <c r="E16" s="6"/>
      <c r="F16" s="117" t="s">
        <v>36</v>
      </c>
      <c r="G16" s="59"/>
      <c r="H16" s="4"/>
      <c r="I16" s="142"/>
      <c r="J16" s="43"/>
      <c r="K16" s="150"/>
      <c r="L16" s="142"/>
      <c r="M16" s="43"/>
      <c r="N16" s="150"/>
      <c r="O16" s="142"/>
      <c r="P16" s="43"/>
      <c r="Q16" s="150"/>
      <c r="R16" s="142"/>
      <c r="S16" s="43"/>
    </row>
    <row r="17" spans="1:19" x14ac:dyDescent="0.2">
      <c r="A17" s="4"/>
      <c r="B17" s="6"/>
      <c r="C17" s="5"/>
      <c r="D17" s="4"/>
      <c r="E17" s="6"/>
      <c r="F17" s="214" t="s">
        <v>34</v>
      </c>
      <c r="G17" s="152"/>
      <c r="H17" s="4"/>
      <c r="I17" s="142"/>
      <c r="J17" s="43"/>
      <c r="K17" s="150"/>
      <c r="L17" s="142"/>
      <c r="M17" s="43"/>
      <c r="N17" s="150"/>
      <c r="O17" s="142"/>
      <c r="P17" s="43"/>
      <c r="Q17" s="150"/>
      <c r="R17" s="142"/>
      <c r="S17" s="43"/>
    </row>
    <row r="18" spans="1:19" ht="13.5" thickBot="1" x14ac:dyDescent="0.25">
      <c r="A18" s="4"/>
      <c r="B18" s="6"/>
      <c r="C18" s="5"/>
      <c r="D18" s="7"/>
      <c r="E18" s="9"/>
      <c r="F18" s="46" t="s">
        <v>41</v>
      </c>
      <c r="G18" s="80"/>
      <c r="H18" s="7"/>
      <c r="I18" s="168"/>
      <c r="J18" s="149"/>
      <c r="K18" s="151"/>
      <c r="L18" s="8"/>
      <c r="M18" s="149"/>
      <c r="N18" s="151"/>
      <c r="O18" s="8"/>
      <c r="P18" s="149"/>
      <c r="Q18" s="151"/>
      <c r="R18" s="8"/>
      <c r="S18" s="149"/>
    </row>
    <row r="19" spans="1:19" ht="13.5" thickBot="1" x14ac:dyDescent="0.25">
      <c r="A19" s="41"/>
      <c r="B19" s="9"/>
      <c r="C19" s="9"/>
      <c r="D19" s="22" t="s">
        <v>39</v>
      </c>
      <c r="E19" s="21"/>
      <c r="F19" s="139"/>
      <c r="G19" s="21"/>
      <c r="H19" s="22"/>
      <c r="I19" s="139"/>
      <c r="J19" s="23"/>
      <c r="K19" s="179"/>
      <c r="L19" s="139"/>
      <c r="M19" s="23"/>
      <c r="N19" s="179"/>
      <c r="O19" s="21"/>
      <c r="P19" s="23"/>
      <c r="Q19" s="179"/>
      <c r="R19" s="21"/>
      <c r="S19" s="23"/>
    </row>
    <row r="20" spans="1:19" x14ac:dyDescent="0.2">
      <c r="A20" s="93"/>
      <c r="B20" s="172"/>
      <c r="C20" s="210"/>
      <c r="D20" s="1"/>
      <c r="E20" s="2"/>
      <c r="F20" s="1" t="s">
        <v>49</v>
      </c>
      <c r="G20" s="3"/>
      <c r="H20" s="212"/>
      <c r="I20" s="212"/>
      <c r="J20" s="181"/>
      <c r="K20" s="211"/>
      <c r="L20" s="212"/>
      <c r="M20" s="181"/>
      <c r="N20" s="211"/>
      <c r="O20" s="212"/>
      <c r="P20" s="181"/>
      <c r="Q20" s="211"/>
      <c r="R20" s="212"/>
      <c r="S20" s="181"/>
    </row>
    <row r="21" spans="1:19" x14ac:dyDescent="0.2">
      <c r="A21" s="24"/>
      <c r="B21" s="6"/>
      <c r="D21" s="4"/>
      <c r="E21" s="5"/>
      <c r="F21" s="183" t="s">
        <v>33</v>
      </c>
      <c r="G21" s="34"/>
      <c r="H21" s="213"/>
      <c r="I21" s="125"/>
      <c r="J21" s="144"/>
      <c r="K21" s="143"/>
      <c r="L21" s="125"/>
      <c r="M21" s="144"/>
      <c r="N21" s="143"/>
      <c r="O21" s="125"/>
      <c r="P21" s="144"/>
      <c r="Q21" s="143"/>
      <c r="R21" s="125"/>
      <c r="S21" s="144"/>
    </row>
    <row r="22" spans="1:19" x14ac:dyDescent="0.2">
      <c r="A22" s="24"/>
      <c r="B22" s="42"/>
      <c r="D22" s="4" t="s">
        <v>13</v>
      </c>
      <c r="E22" s="5"/>
      <c r="F22" s="117" t="s">
        <v>36</v>
      </c>
      <c r="G22" s="6"/>
      <c r="H22" s="213"/>
      <c r="I22" s="140"/>
      <c r="J22" s="144"/>
      <c r="K22" s="143"/>
      <c r="L22" s="140"/>
      <c r="M22" s="144"/>
      <c r="N22" s="143"/>
      <c r="O22" s="140"/>
      <c r="P22" s="144"/>
      <c r="Q22" s="143"/>
      <c r="R22" s="140"/>
      <c r="S22" s="144"/>
    </row>
    <row r="23" spans="1:19" ht="13.5" customHeight="1" x14ac:dyDescent="0.2">
      <c r="A23" s="24"/>
      <c r="B23" s="43"/>
      <c r="D23" s="4"/>
      <c r="E23" s="5"/>
      <c r="F23" s="214" t="s">
        <v>34</v>
      </c>
      <c r="G23" s="34"/>
      <c r="H23" s="213"/>
      <c r="I23" s="140"/>
      <c r="J23" s="144"/>
      <c r="K23" s="143"/>
      <c r="L23" s="140"/>
      <c r="M23" s="144"/>
      <c r="N23" s="143"/>
      <c r="O23" s="140"/>
      <c r="P23" s="144"/>
      <c r="Q23" s="143"/>
      <c r="R23" s="140"/>
      <c r="S23" s="144"/>
    </row>
    <row r="24" spans="1:19" ht="13.5" customHeight="1" thickBot="1" x14ac:dyDescent="0.25">
      <c r="A24" s="24"/>
      <c r="B24" s="43"/>
      <c r="D24" s="4"/>
      <c r="E24" s="5"/>
      <c r="F24" s="215" t="s">
        <v>41</v>
      </c>
      <c r="G24" s="6"/>
      <c r="H24" s="213"/>
      <c r="I24" s="140"/>
      <c r="J24" s="144"/>
      <c r="K24" s="143"/>
      <c r="L24" s="140"/>
      <c r="M24" s="144"/>
      <c r="N24" s="143"/>
      <c r="O24" s="140"/>
      <c r="P24" s="144"/>
      <c r="Q24" s="143"/>
      <c r="R24" s="140"/>
      <c r="S24" s="144"/>
    </row>
    <row r="25" spans="1:19" ht="13.5" customHeight="1" thickBot="1" x14ac:dyDescent="0.25">
      <c r="A25" s="24"/>
      <c r="B25" s="43"/>
      <c r="D25" s="22" t="s">
        <v>39</v>
      </c>
      <c r="E25" s="21"/>
      <c r="F25" s="21"/>
      <c r="G25" s="23"/>
      <c r="H25" s="224"/>
      <c r="I25" s="225"/>
      <c r="J25" s="170"/>
      <c r="K25" s="138"/>
      <c r="L25" s="225"/>
      <c r="M25" s="170"/>
      <c r="N25" s="138"/>
      <c r="O25" s="225"/>
      <c r="P25" s="170"/>
      <c r="Q25" s="138"/>
      <c r="R25" s="225"/>
      <c r="S25" s="170"/>
    </row>
    <row r="26" spans="1:19" ht="13.5" customHeight="1" thickBot="1" x14ac:dyDescent="0.25">
      <c r="A26" s="24"/>
      <c r="B26" s="43"/>
      <c r="D26" s="4"/>
      <c r="E26" s="5"/>
      <c r="F26" s="4" t="s">
        <v>49</v>
      </c>
      <c r="G26" s="5"/>
      <c r="H26" s="138"/>
      <c r="I26" s="225"/>
      <c r="J26" s="169"/>
      <c r="K26" s="138"/>
      <c r="L26" s="225"/>
      <c r="M26" s="169"/>
      <c r="N26" s="138"/>
      <c r="O26" s="225"/>
      <c r="P26" s="169"/>
      <c r="Q26" s="138"/>
      <c r="R26" s="225"/>
      <c r="S26" s="170"/>
    </row>
    <row r="27" spans="1:19" x14ac:dyDescent="0.2">
      <c r="A27" s="4"/>
      <c r="B27" s="6" t="s">
        <v>1</v>
      </c>
      <c r="C27" s="45"/>
      <c r="D27" s="4"/>
      <c r="E27" s="6"/>
      <c r="F27" s="123" t="s">
        <v>33</v>
      </c>
      <c r="G27" s="60"/>
      <c r="H27" s="4"/>
      <c r="I27" s="226"/>
      <c r="J27" s="5"/>
      <c r="K27" s="4"/>
      <c r="L27" s="226"/>
      <c r="M27" s="5"/>
      <c r="N27" s="4"/>
      <c r="O27" s="226"/>
      <c r="P27" s="5"/>
      <c r="Q27" s="4"/>
      <c r="R27" s="226"/>
      <c r="S27" s="6"/>
    </row>
    <row r="28" spans="1:19" x14ac:dyDescent="0.2">
      <c r="A28" s="4"/>
      <c r="B28" s="6"/>
      <c r="C28" s="5"/>
      <c r="D28" s="4" t="s">
        <v>14</v>
      </c>
      <c r="E28" s="6"/>
      <c r="F28" s="117" t="s">
        <v>36</v>
      </c>
      <c r="G28" s="59"/>
      <c r="H28" s="4"/>
      <c r="I28" s="142"/>
      <c r="J28" s="220"/>
      <c r="K28" s="150"/>
      <c r="L28" s="142"/>
      <c r="M28" s="220"/>
      <c r="N28" s="150"/>
      <c r="O28" s="142"/>
      <c r="P28" s="220"/>
      <c r="Q28" s="150"/>
      <c r="R28" s="142"/>
      <c r="S28" s="43"/>
    </row>
    <row r="29" spans="1:19" x14ac:dyDescent="0.2">
      <c r="A29" s="4"/>
      <c r="B29" s="6"/>
      <c r="C29" s="5"/>
      <c r="D29" s="4"/>
      <c r="E29" s="6"/>
      <c r="F29" s="214" t="s">
        <v>34</v>
      </c>
      <c r="G29" s="152"/>
      <c r="H29" s="4"/>
      <c r="I29" s="142"/>
      <c r="J29" s="220"/>
      <c r="K29" s="150"/>
      <c r="L29" s="142"/>
      <c r="M29" s="220"/>
      <c r="N29" s="150"/>
      <c r="O29" s="142"/>
      <c r="P29" s="220"/>
      <c r="Q29" s="150"/>
      <c r="R29" s="142"/>
      <c r="S29" s="43"/>
    </row>
    <row r="30" spans="1:19" ht="13.5" thickBot="1" x14ac:dyDescent="0.25">
      <c r="A30" s="4"/>
      <c r="B30" s="6"/>
      <c r="C30" s="5"/>
      <c r="D30" s="7"/>
      <c r="E30" s="9"/>
      <c r="F30" s="46" t="s">
        <v>41</v>
      </c>
      <c r="G30" s="80"/>
      <c r="H30" s="7"/>
      <c r="I30" s="168"/>
      <c r="J30" s="223"/>
      <c r="K30" s="151"/>
      <c r="L30" s="8"/>
      <c r="M30" s="223"/>
      <c r="N30" s="151"/>
      <c r="O30" s="8"/>
      <c r="P30" s="223"/>
      <c r="Q30" s="151"/>
      <c r="R30" s="8"/>
      <c r="S30" s="149"/>
    </row>
    <row r="31" spans="1:19" ht="13.5" thickBot="1" x14ac:dyDescent="0.25">
      <c r="A31" s="41"/>
      <c r="B31" s="9"/>
      <c r="C31" s="9"/>
      <c r="D31" s="22" t="s">
        <v>39</v>
      </c>
      <c r="E31" s="21"/>
      <c r="F31" s="139"/>
      <c r="G31" s="21"/>
      <c r="H31" s="7"/>
      <c r="I31" s="168"/>
      <c r="J31" s="9"/>
      <c r="K31" s="141"/>
      <c r="L31" s="168"/>
      <c r="M31" s="9"/>
      <c r="N31" s="141"/>
      <c r="O31" s="8"/>
      <c r="P31" s="9"/>
      <c r="Q31" s="141"/>
      <c r="R31" s="8"/>
      <c r="S31" s="9"/>
    </row>
    <row r="32" spans="1:19" hidden="1" x14ac:dyDescent="0.2">
      <c r="A32" s="1"/>
      <c r="B32" s="3"/>
      <c r="C32" s="40"/>
      <c r="D32" s="1"/>
      <c r="E32" s="3"/>
      <c r="F32" s="25" t="s">
        <v>33</v>
      </c>
      <c r="G32" s="32"/>
      <c r="H32" s="37"/>
      <c r="I32" s="38"/>
      <c r="J32" s="39"/>
      <c r="K32" s="37"/>
      <c r="L32" s="38"/>
      <c r="M32" s="39"/>
      <c r="N32" s="37"/>
      <c r="O32" s="38"/>
      <c r="P32" s="39"/>
      <c r="Q32" s="37"/>
      <c r="R32" s="38"/>
      <c r="S32" s="39"/>
    </row>
    <row r="33" spans="1:19" ht="13.5" hidden="1" thickBot="1" x14ac:dyDescent="0.25">
      <c r="A33" s="4"/>
      <c r="B33" s="6"/>
      <c r="C33" s="10"/>
      <c r="D33" s="4" t="s">
        <v>13</v>
      </c>
      <c r="E33" s="6"/>
      <c r="F33" s="44" t="s">
        <v>34</v>
      </c>
      <c r="G33" s="34"/>
      <c r="H33" s="15">
        <v>90</v>
      </c>
      <c r="I33" s="27">
        <f>SQRT(3)*I36*H33*C46*POWER(10,-3)</f>
        <v>0</v>
      </c>
      <c r="J33" s="110">
        <f>I33*E46</f>
        <v>0</v>
      </c>
      <c r="K33" s="15">
        <v>90</v>
      </c>
      <c r="L33" s="27">
        <f>SQRT(3)*L36*K33*C46*POWER(10,-3)</f>
        <v>0</v>
      </c>
      <c r="M33" s="108">
        <f>L33*E46</f>
        <v>0</v>
      </c>
      <c r="N33" s="15">
        <v>90</v>
      </c>
      <c r="O33" s="27">
        <f>SQRT(3)*O36*N33*C46*POWER(10,-3)</f>
        <v>0</v>
      </c>
      <c r="P33" s="108">
        <f>O33*E46</f>
        <v>0</v>
      </c>
      <c r="Q33" s="15">
        <v>90</v>
      </c>
      <c r="R33" s="27">
        <f>SQRT(3)*R36*Q33*C46*POWER(10,-3)</f>
        <v>0</v>
      </c>
      <c r="S33" s="110">
        <f>R33*E46</f>
        <v>0</v>
      </c>
    </row>
    <row r="34" spans="1:19" ht="13.5" hidden="1" thickBot="1" x14ac:dyDescent="0.25">
      <c r="A34" s="4"/>
      <c r="B34" s="6"/>
      <c r="C34" s="10"/>
      <c r="D34" s="7"/>
      <c r="E34" s="9"/>
      <c r="F34" s="5"/>
      <c r="G34" s="35"/>
      <c r="H34" s="36">
        <v>480</v>
      </c>
      <c r="I34" s="27">
        <f>SQRT(3)*I37*H34*C44*POWER(10,-3)</f>
        <v>0</v>
      </c>
      <c r="J34" s="110">
        <f>I34*E44</f>
        <v>0</v>
      </c>
      <c r="K34" s="36">
        <v>480</v>
      </c>
      <c r="L34" s="27">
        <f>SQRT(3)*L37*K34*C44*POWER(10,-3)</f>
        <v>0</v>
      </c>
      <c r="M34" s="108">
        <f>L34*E44</f>
        <v>0</v>
      </c>
      <c r="N34" s="36">
        <v>480</v>
      </c>
      <c r="O34" s="27">
        <f>SQRT(3)*O37*N34*C44*POWER(10,-3)</f>
        <v>0</v>
      </c>
      <c r="P34" s="108">
        <f>O34*E44</f>
        <v>0</v>
      </c>
      <c r="Q34" s="36">
        <v>480</v>
      </c>
      <c r="R34" s="27">
        <f>SQRT(3)*R37*Q34*C44*POWER(10,-3)</f>
        <v>0</v>
      </c>
      <c r="S34" s="110">
        <f>R34*E44</f>
        <v>0</v>
      </c>
    </row>
    <row r="35" spans="1:19" hidden="1" x14ac:dyDescent="0.2">
      <c r="A35" s="24"/>
      <c r="B35" s="6" t="s">
        <v>1</v>
      </c>
      <c r="C35" s="12">
        <v>16</v>
      </c>
      <c r="D35" s="1"/>
      <c r="E35" s="3"/>
      <c r="F35" s="25" t="s">
        <v>33</v>
      </c>
      <c r="G35" s="13"/>
      <c r="H35" s="74"/>
      <c r="I35" s="60"/>
      <c r="J35" s="32"/>
      <c r="K35" s="74"/>
      <c r="L35" s="60"/>
      <c r="M35" s="32"/>
      <c r="N35" s="74"/>
      <c r="O35" s="60"/>
      <c r="P35" s="32"/>
      <c r="Q35" s="74"/>
      <c r="R35" s="60"/>
      <c r="S35" s="32"/>
    </row>
    <row r="36" spans="1:19" hidden="1" x14ac:dyDescent="0.2">
      <c r="A36" s="24"/>
      <c r="B36" s="42"/>
      <c r="C36" s="12"/>
      <c r="D36" s="4" t="s">
        <v>14</v>
      </c>
      <c r="E36" s="6"/>
      <c r="F36" s="124" t="s">
        <v>36</v>
      </c>
      <c r="G36" s="13"/>
      <c r="H36" s="88"/>
      <c r="I36" s="112">
        <v>37</v>
      </c>
      <c r="J36" s="113"/>
      <c r="K36" s="114"/>
      <c r="L36" s="112">
        <v>37</v>
      </c>
      <c r="M36" s="113"/>
      <c r="N36" s="114"/>
      <c r="O36" s="112">
        <v>37</v>
      </c>
      <c r="P36" s="113"/>
      <c r="Q36" s="114"/>
      <c r="R36" s="112">
        <v>37</v>
      </c>
      <c r="S36" s="113"/>
    </row>
    <row r="37" spans="1:19" ht="13.5" hidden="1" thickBot="1" x14ac:dyDescent="0.25">
      <c r="A37" s="24"/>
      <c r="B37" s="43"/>
      <c r="C37" s="12"/>
      <c r="D37" s="7"/>
      <c r="E37" s="9"/>
      <c r="F37" s="44" t="s">
        <v>34</v>
      </c>
      <c r="G37" s="5"/>
      <c r="H37" s="89"/>
      <c r="I37" s="111">
        <v>10.5</v>
      </c>
      <c r="J37" s="115"/>
      <c r="K37" s="116"/>
      <c r="L37" s="111">
        <v>10.5</v>
      </c>
      <c r="M37" s="115"/>
      <c r="N37" s="116"/>
      <c r="O37" s="111">
        <v>10.5</v>
      </c>
      <c r="P37" s="115"/>
      <c r="Q37" s="116"/>
      <c r="R37" s="111">
        <v>10.5</v>
      </c>
      <c r="S37" s="115"/>
    </row>
    <row r="38" spans="1:19" ht="13.5" hidden="1" thickBot="1" x14ac:dyDescent="0.25">
      <c r="A38" s="41"/>
      <c r="B38" s="9"/>
      <c r="C38" s="11"/>
      <c r="D38" s="153" t="s">
        <v>15</v>
      </c>
      <c r="E38" s="2"/>
      <c r="F38" s="2"/>
      <c r="G38" s="2"/>
      <c r="H38" s="1"/>
      <c r="I38" s="2">
        <v>2</v>
      </c>
      <c r="J38" s="3"/>
      <c r="K38" s="137"/>
      <c r="L38" s="2">
        <v>2</v>
      </c>
      <c r="M38" s="3"/>
      <c r="N38" s="137"/>
      <c r="O38" s="2">
        <v>2</v>
      </c>
      <c r="P38" s="3"/>
      <c r="Q38" s="137"/>
      <c r="R38" s="2">
        <v>2</v>
      </c>
      <c r="S38" s="3"/>
    </row>
    <row r="39" spans="1:19" x14ac:dyDescent="0.2">
      <c r="A39" s="1"/>
      <c r="B39" s="2"/>
      <c r="C39" s="2"/>
      <c r="D39" s="1"/>
      <c r="E39" s="2"/>
      <c r="F39" s="154" t="s">
        <v>49</v>
      </c>
      <c r="G39" s="3"/>
      <c r="H39" s="138">
        <f>H9+H25</f>
        <v>0</v>
      </c>
      <c r="I39" s="169">
        <f>SUM(I9,I25)</f>
        <v>0</v>
      </c>
      <c r="J39" s="170">
        <f>SUM(J9,J25)</f>
        <v>0</v>
      </c>
      <c r="K39" s="138">
        <f>K9+K25</f>
        <v>0</v>
      </c>
      <c r="L39" s="169">
        <f>SUM(L9,L25)</f>
        <v>0</v>
      </c>
      <c r="M39" s="170">
        <f>SUM(M9,M25)</f>
        <v>0</v>
      </c>
      <c r="N39" s="138">
        <f>N9+N25</f>
        <v>0</v>
      </c>
      <c r="O39" s="169">
        <f>SUM(O9,O25)</f>
        <v>0</v>
      </c>
      <c r="P39" s="170">
        <f>SUM(P9,P25)</f>
        <v>0</v>
      </c>
      <c r="Q39" s="138">
        <f>Q9+Q25</f>
        <v>0</v>
      </c>
      <c r="R39" s="169">
        <f>SUM(R9,R25)</f>
        <v>0</v>
      </c>
      <c r="S39" s="170">
        <f>SUM(S9,S25)</f>
        <v>0</v>
      </c>
    </row>
    <row r="40" spans="1:19" x14ac:dyDescent="0.2">
      <c r="A40" s="4"/>
      <c r="B40" s="5"/>
      <c r="C40" s="5"/>
      <c r="D40" s="4"/>
      <c r="E40" s="5"/>
      <c r="F40" s="124" t="s">
        <v>33</v>
      </c>
      <c r="G40" s="6"/>
      <c r="H40" s="143"/>
      <c r="I40" s="125"/>
      <c r="J40" s="144"/>
      <c r="K40" s="143"/>
      <c r="L40" s="125"/>
      <c r="M40" s="144"/>
      <c r="N40" s="143"/>
      <c r="O40" s="125"/>
      <c r="P40" s="144"/>
      <c r="Q40" s="143"/>
      <c r="R40" s="125"/>
      <c r="S40" s="144"/>
    </row>
    <row r="41" spans="1:19" x14ac:dyDescent="0.2">
      <c r="A41" s="4"/>
      <c r="B41" s="5" t="s">
        <v>35</v>
      </c>
      <c r="C41" s="5"/>
      <c r="D41" s="4"/>
      <c r="E41" s="5"/>
      <c r="F41" s="124" t="s">
        <v>36</v>
      </c>
      <c r="G41" s="6"/>
      <c r="H41" s="143">
        <f t="shared" ref="H41:S41" si="0">H10+H26</f>
        <v>0</v>
      </c>
      <c r="I41" s="125">
        <f t="shared" si="0"/>
        <v>0</v>
      </c>
      <c r="J41" s="144">
        <f t="shared" si="0"/>
        <v>0</v>
      </c>
      <c r="K41" s="143">
        <f t="shared" si="0"/>
        <v>0</v>
      </c>
      <c r="L41" s="125">
        <f t="shared" si="0"/>
        <v>0</v>
      </c>
      <c r="M41" s="144">
        <f t="shared" si="0"/>
        <v>0</v>
      </c>
      <c r="N41" s="143">
        <f t="shared" si="0"/>
        <v>0</v>
      </c>
      <c r="O41" s="125">
        <f t="shared" si="0"/>
        <v>0</v>
      </c>
      <c r="P41" s="144">
        <f t="shared" si="0"/>
        <v>0</v>
      </c>
      <c r="Q41" s="143">
        <f t="shared" si="0"/>
        <v>0</v>
      </c>
      <c r="R41" s="125">
        <f t="shared" si="0"/>
        <v>0</v>
      </c>
      <c r="S41" s="144">
        <f t="shared" si="0"/>
        <v>0</v>
      </c>
    </row>
    <row r="42" spans="1:19" x14ac:dyDescent="0.2">
      <c r="A42" s="4"/>
      <c r="B42" s="5"/>
      <c r="C42" s="5"/>
      <c r="D42" s="4"/>
      <c r="E42" s="5"/>
      <c r="F42" s="124" t="s">
        <v>34</v>
      </c>
      <c r="G42" s="6"/>
      <c r="H42" s="143"/>
      <c r="I42" s="125"/>
      <c r="J42" s="144"/>
      <c r="K42" s="143"/>
      <c r="L42" s="125"/>
      <c r="M42" s="144"/>
      <c r="N42" s="143"/>
      <c r="O42" s="125"/>
      <c r="P42" s="144"/>
      <c r="Q42" s="143"/>
      <c r="R42" s="125"/>
      <c r="S42" s="144"/>
    </row>
    <row r="43" spans="1:19" ht="13.5" thickBot="1" x14ac:dyDescent="0.25">
      <c r="A43" s="4"/>
      <c r="B43" s="8"/>
      <c r="C43" s="5"/>
      <c r="D43" s="7"/>
      <c r="E43" s="8"/>
      <c r="F43" s="155" t="s">
        <v>41</v>
      </c>
      <c r="G43" s="9"/>
      <c r="H43" s="145">
        <f>H11+H27</f>
        <v>0</v>
      </c>
      <c r="I43" s="146">
        <f>SUM(I11,I27)</f>
        <v>0</v>
      </c>
      <c r="J43" s="147">
        <f>SUM(J11,J27)</f>
        <v>0</v>
      </c>
      <c r="K43" s="145">
        <f>K11+K27</f>
        <v>0</v>
      </c>
      <c r="L43" s="146">
        <f>SUM(L11,L27)</f>
        <v>0</v>
      </c>
      <c r="M43" s="147">
        <f>SUM(M11,M27)</f>
        <v>0</v>
      </c>
      <c r="N43" s="145">
        <f>N11+N27</f>
        <v>0</v>
      </c>
      <c r="O43" s="146">
        <f>SUM(O11,O27)</f>
        <v>0</v>
      </c>
      <c r="P43" s="147">
        <f>SUM(P11,P27)</f>
        <v>0</v>
      </c>
      <c r="Q43" s="145">
        <f>Q11+Q27</f>
        <v>0</v>
      </c>
      <c r="R43" s="146">
        <f>SUM(R11,R27)</f>
        <v>0</v>
      </c>
      <c r="S43" s="147">
        <f>SUM(S11,S27)</f>
        <v>0</v>
      </c>
    </row>
    <row r="44" spans="1:19" ht="13.5" thickBot="1" x14ac:dyDescent="0.25">
      <c r="A44" s="64" t="s">
        <v>37</v>
      </c>
      <c r="B44" s="21"/>
      <c r="C44" s="165"/>
      <c r="D44" s="64" t="s">
        <v>38</v>
      </c>
      <c r="E44" s="2032"/>
      <c r="F44" s="2032"/>
      <c r="G44" s="8"/>
      <c r="H44" s="1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</row>
    <row r="45" spans="1:19" ht="13.5" thickBot="1" x14ac:dyDescent="0.25">
      <c r="A45" s="64" t="s">
        <v>47</v>
      </c>
      <c r="B45" s="21"/>
      <c r="C45" s="165"/>
      <c r="D45" s="64" t="s">
        <v>48</v>
      </c>
      <c r="E45" s="209"/>
      <c r="F45" s="209"/>
      <c r="G45" s="8"/>
      <c r="H45" s="4"/>
      <c r="I45" s="5"/>
      <c r="J45" s="5"/>
      <c r="K45" s="5"/>
      <c r="L45" s="5"/>
      <c r="M45" s="5"/>
      <c r="N45" s="5"/>
      <c r="O45" s="5"/>
      <c r="P45" s="5"/>
      <c r="Q45" s="5"/>
      <c r="R45" s="5"/>
      <c r="S45" s="6"/>
    </row>
    <row r="46" spans="1:19" ht="13.5" thickBot="1" x14ac:dyDescent="0.25">
      <c r="A46" s="109" t="s">
        <v>42</v>
      </c>
      <c r="B46" s="21"/>
      <c r="C46" s="165"/>
      <c r="D46" s="64" t="s">
        <v>43</v>
      </c>
      <c r="E46" s="2032"/>
      <c r="F46" s="2032"/>
      <c r="G46" s="21"/>
      <c r="H46" s="7"/>
      <c r="I46" s="8"/>
      <c r="J46" s="8"/>
      <c r="K46" s="8"/>
      <c r="L46" s="8"/>
      <c r="M46" s="8"/>
      <c r="N46" s="8"/>
      <c r="O46" s="8"/>
      <c r="P46" s="8"/>
      <c r="Q46" s="8"/>
      <c r="R46" s="8"/>
      <c r="S46" s="9"/>
    </row>
    <row r="47" spans="1:19" x14ac:dyDescent="0.2">
      <c r="A47" s="93" t="s">
        <v>40</v>
      </c>
      <c r="B47" s="94"/>
      <c r="C47" s="95"/>
      <c r="D47" s="96" t="s">
        <v>5</v>
      </c>
      <c r="E47" s="97"/>
      <c r="F47" s="96" t="s">
        <v>6</v>
      </c>
      <c r="G47" s="98"/>
      <c r="H47" s="103" t="s">
        <v>4</v>
      </c>
      <c r="I47" s="104" t="s">
        <v>9</v>
      </c>
      <c r="J47" s="105" t="s">
        <v>10</v>
      </c>
      <c r="K47" s="103" t="s">
        <v>4</v>
      </c>
      <c r="L47" s="104" t="s">
        <v>9</v>
      </c>
      <c r="M47" s="105" t="s">
        <v>10</v>
      </c>
      <c r="N47" s="103" t="s">
        <v>4</v>
      </c>
      <c r="O47" s="104" t="s">
        <v>9</v>
      </c>
      <c r="P47" s="105" t="s">
        <v>10</v>
      </c>
      <c r="Q47" s="103" t="s">
        <v>4</v>
      </c>
      <c r="R47" s="104" t="s">
        <v>9</v>
      </c>
      <c r="S47" s="105" t="s">
        <v>10</v>
      </c>
    </row>
    <row r="48" spans="1:19" ht="13.5" thickBot="1" x14ac:dyDescent="0.25">
      <c r="A48" s="4"/>
      <c r="B48" s="71" t="s">
        <v>51</v>
      </c>
      <c r="C48" s="181"/>
      <c r="D48" s="47" t="s">
        <v>7</v>
      </c>
      <c r="E48" s="47" t="s">
        <v>8</v>
      </c>
      <c r="F48" s="47" t="s">
        <v>7</v>
      </c>
      <c r="G48" s="48" t="s">
        <v>8</v>
      </c>
      <c r="H48" s="85">
        <v>0</v>
      </c>
      <c r="I48" s="86" t="s">
        <v>31</v>
      </c>
      <c r="J48" s="87" t="s">
        <v>32</v>
      </c>
      <c r="K48" s="85" t="s">
        <v>30</v>
      </c>
      <c r="L48" s="86" t="s">
        <v>31</v>
      </c>
      <c r="M48" s="87" t="s">
        <v>32</v>
      </c>
      <c r="N48" s="85" t="s">
        <v>30</v>
      </c>
      <c r="O48" s="86" t="s">
        <v>31</v>
      </c>
      <c r="P48" s="87" t="s">
        <v>32</v>
      </c>
      <c r="Q48" s="85" t="s">
        <v>30</v>
      </c>
      <c r="R48" s="86" t="s">
        <v>31</v>
      </c>
      <c r="S48" s="87" t="s">
        <v>32</v>
      </c>
    </row>
    <row r="49" spans="1:19" x14ac:dyDescent="0.2">
      <c r="A49" s="123">
        <v>1</v>
      </c>
      <c r="B49" s="60"/>
      <c r="C49" s="118"/>
      <c r="D49" s="166"/>
      <c r="E49" s="49"/>
      <c r="F49" s="50"/>
      <c r="G49" s="51"/>
      <c r="H49" s="185"/>
      <c r="I49" s="50"/>
      <c r="J49" s="197"/>
      <c r="K49" s="185"/>
      <c r="L49" s="50"/>
      <c r="M49" s="197"/>
      <c r="N49" s="185"/>
      <c r="O49" s="50"/>
      <c r="P49" s="197"/>
      <c r="Q49" s="185"/>
      <c r="R49" s="50"/>
      <c r="S49" s="197"/>
    </row>
    <row r="50" spans="1:19" x14ac:dyDescent="0.2">
      <c r="A50" s="183">
        <v>2</v>
      </c>
      <c r="B50" s="59"/>
      <c r="C50" s="192"/>
      <c r="D50" s="187"/>
      <c r="E50" s="188"/>
      <c r="F50" s="189"/>
      <c r="G50" s="190"/>
      <c r="H50" s="191"/>
      <c r="I50" s="189"/>
      <c r="J50" s="198"/>
      <c r="K50" s="191"/>
      <c r="L50" s="189"/>
      <c r="M50" s="200"/>
      <c r="N50" s="191"/>
      <c r="O50" s="189"/>
      <c r="P50" s="198"/>
      <c r="Q50" s="191"/>
      <c r="R50" s="189"/>
      <c r="S50" s="198"/>
    </row>
    <row r="51" spans="1:19" x14ac:dyDescent="0.2">
      <c r="A51" s="183">
        <v>3</v>
      </c>
      <c r="B51" s="59"/>
      <c r="C51" s="192"/>
      <c r="D51" s="187"/>
      <c r="E51" s="188"/>
      <c r="F51" s="189"/>
      <c r="G51" s="190"/>
      <c r="H51" s="191"/>
      <c r="I51" s="189"/>
      <c r="J51" s="198"/>
      <c r="K51" s="191"/>
      <c r="L51" s="189"/>
      <c r="M51" s="200"/>
      <c r="N51" s="191"/>
      <c r="O51" s="189"/>
      <c r="P51" s="198"/>
      <c r="Q51" s="191"/>
      <c r="R51" s="189"/>
      <c r="S51" s="198"/>
    </row>
    <row r="52" spans="1:19" ht="13.5" thickBot="1" x14ac:dyDescent="0.25">
      <c r="A52" s="196" t="s">
        <v>50</v>
      </c>
      <c r="B52" s="80"/>
      <c r="C52" s="35"/>
      <c r="D52" s="108"/>
      <c r="E52" s="26"/>
      <c r="F52" s="27"/>
      <c r="G52" s="28"/>
      <c r="H52" s="186"/>
      <c r="I52" s="27"/>
      <c r="J52" s="110"/>
      <c r="K52" s="186"/>
      <c r="L52" s="27"/>
      <c r="M52" s="200"/>
      <c r="N52" s="186"/>
      <c r="O52" s="27"/>
      <c r="P52" s="110"/>
      <c r="Q52" s="186"/>
      <c r="R52" s="27"/>
      <c r="S52" s="110"/>
    </row>
    <row r="53" spans="1:19" ht="13.5" hidden="1" thickBot="1" x14ac:dyDescent="0.25">
      <c r="A53" s="182"/>
      <c r="B53" s="8"/>
      <c r="C53" s="9"/>
      <c r="D53" s="108"/>
      <c r="E53" s="26"/>
      <c r="F53" s="27"/>
      <c r="G53" s="28"/>
      <c r="H53" s="186"/>
      <c r="I53" s="27"/>
      <c r="J53" s="110"/>
      <c r="K53" s="186"/>
      <c r="L53" s="167"/>
      <c r="M53" s="34"/>
      <c r="N53" s="186"/>
      <c r="O53" s="29"/>
      <c r="P53" s="30"/>
      <c r="Q53" s="186"/>
      <c r="R53" s="29"/>
      <c r="S53" s="30"/>
    </row>
    <row r="54" spans="1:19" ht="13.5" thickBot="1" x14ac:dyDescent="0.25">
      <c r="A54" s="7"/>
      <c r="B54" s="8"/>
      <c r="C54" s="8"/>
      <c r="D54" s="21"/>
      <c r="E54" s="52"/>
      <c r="F54" s="21"/>
      <c r="G54" s="53"/>
      <c r="H54" s="101" t="s">
        <v>19</v>
      </c>
      <c r="I54" s="199"/>
      <c r="J54" s="169"/>
      <c r="K54" s="18"/>
      <c r="L54" s="19"/>
      <c r="M54" s="19"/>
      <c r="N54" s="18"/>
      <c r="O54" s="19"/>
      <c r="P54" s="19"/>
      <c r="Q54" s="18"/>
      <c r="R54" s="19"/>
      <c r="S54" s="20"/>
    </row>
    <row r="55" spans="1:19" ht="15" customHeight="1" x14ac:dyDescent="0.2">
      <c r="A55" s="40"/>
      <c r="B55" s="61" t="s">
        <v>22</v>
      </c>
      <c r="C55" s="60"/>
      <c r="D55" s="63" t="s">
        <v>45</v>
      </c>
      <c r="E55" s="60"/>
      <c r="F55" s="60"/>
      <c r="G55" s="60"/>
      <c r="H55" s="156"/>
      <c r="I55" s="157" t="s">
        <v>2</v>
      </c>
      <c r="J55" s="158"/>
      <c r="K55" s="184"/>
      <c r="L55" s="157" t="s">
        <v>2</v>
      </c>
      <c r="M55" s="158"/>
      <c r="N55" s="156"/>
      <c r="O55" s="157" t="s">
        <v>2</v>
      </c>
      <c r="P55" s="158"/>
      <c r="Q55" s="156"/>
      <c r="R55" s="157" t="s">
        <v>2</v>
      </c>
      <c r="S55" s="158"/>
    </row>
    <row r="56" spans="1:19" ht="15.75" customHeight="1" thickBot="1" x14ac:dyDescent="0.25">
      <c r="A56" s="10" t="s">
        <v>0</v>
      </c>
      <c r="B56" s="62" t="s">
        <v>23</v>
      </c>
      <c r="C56" s="59"/>
      <c r="D56" s="13" t="s">
        <v>24</v>
      </c>
      <c r="E56" s="31"/>
      <c r="F56" s="33"/>
      <c r="G56" s="13"/>
      <c r="H56" s="126"/>
      <c r="I56" s="127" t="s">
        <v>2</v>
      </c>
      <c r="J56" s="128"/>
      <c r="K56" s="126"/>
      <c r="L56" s="127" t="s">
        <v>2</v>
      </c>
      <c r="M56" s="128"/>
      <c r="N56" s="126"/>
      <c r="O56" s="127" t="s">
        <v>2</v>
      </c>
      <c r="P56" s="128"/>
      <c r="Q56" s="126"/>
      <c r="R56" s="127" t="s">
        <v>2</v>
      </c>
      <c r="S56" s="128"/>
    </row>
    <row r="57" spans="1:19" ht="13.5" hidden="1" customHeight="1" thickBot="1" x14ac:dyDescent="0.25">
      <c r="A57" s="54"/>
      <c r="B57" s="75" t="s">
        <v>26</v>
      </c>
      <c r="C57" s="79">
        <v>4.82E-2</v>
      </c>
      <c r="D57" s="16" t="s">
        <v>27</v>
      </c>
      <c r="E57" s="2027">
        <v>11.2</v>
      </c>
      <c r="F57" s="2027"/>
      <c r="G57" s="6"/>
      <c r="H57" s="129"/>
      <c r="I57" s="130"/>
      <c r="J57" s="131"/>
      <c r="K57" s="129"/>
      <c r="L57" s="130"/>
      <c r="M57" s="131"/>
      <c r="N57" s="129"/>
      <c r="O57" s="132"/>
      <c r="P57" s="131"/>
      <c r="Q57" s="129"/>
      <c r="R57" s="130"/>
      <c r="S57" s="131"/>
    </row>
    <row r="58" spans="1:19" ht="13.5" hidden="1" customHeight="1" thickBot="1" x14ac:dyDescent="0.25">
      <c r="A58" s="54"/>
      <c r="B58" s="201" t="s">
        <v>46</v>
      </c>
      <c r="C58" s="202"/>
      <c r="D58" s="16"/>
      <c r="E58" s="203" t="s">
        <v>58</v>
      </c>
      <c r="F58" s="204"/>
      <c r="G58" s="205"/>
      <c r="H58" s="206" t="s">
        <v>57</v>
      </c>
      <c r="I58" s="206"/>
      <c r="J58" s="206" t="s">
        <v>52</v>
      </c>
      <c r="K58" s="206"/>
      <c r="L58" s="206" t="s">
        <v>53</v>
      </c>
      <c r="M58" s="207"/>
      <c r="N58" s="64" t="s">
        <v>54</v>
      </c>
      <c r="O58" s="53"/>
      <c r="P58" s="221" t="s">
        <v>56</v>
      </c>
      <c r="Q58" s="206"/>
      <c r="R58" s="206" t="s">
        <v>55</v>
      </c>
      <c r="S58" s="207"/>
    </row>
    <row r="59" spans="1:19" ht="15" customHeight="1" thickBot="1" x14ac:dyDescent="0.25">
      <c r="A59" s="55"/>
      <c r="B59" s="2029" t="s">
        <v>29</v>
      </c>
      <c r="C59" s="2030"/>
      <c r="D59" s="2030"/>
      <c r="E59" s="2030"/>
      <c r="F59" s="2030"/>
      <c r="G59" s="2031"/>
      <c r="H59" s="159">
        <f>SUM(I9,H55,H56)</f>
        <v>0</v>
      </c>
      <c r="I59" s="160" t="s">
        <v>2</v>
      </c>
      <c r="J59" s="161">
        <f>SUM(J9,J55,J56)</f>
        <v>0</v>
      </c>
      <c r="K59" s="159">
        <f>SUM(L9,H55,K56)</f>
        <v>0</v>
      </c>
      <c r="L59" s="160" t="s">
        <v>2</v>
      </c>
      <c r="M59" s="161">
        <f>SUM(M9,J55,M56)</f>
        <v>0</v>
      </c>
      <c r="N59" s="159">
        <f>SUM(O9,H55,N56)</f>
        <v>0</v>
      </c>
      <c r="O59" s="160" t="s">
        <v>2</v>
      </c>
      <c r="P59" s="161">
        <f>SUM(P9,J55,P56)</f>
        <v>0</v>
      </c>
      <c r="Q59" s="159">
        <f>SUM(R9,H55,Q56)</f>
        <v>0</v>
      </c>
      <c r="R59" s="160" t="s">
        <v>2</v>
      </c>
      <c r="S59" s="161">
        <f>SUM(S9,J55,S56)</f>
        <v>0</v>
      </c>
    </row>
    <row r="60" spans="1:19" x14ac:dyDescent="0.2">
      <c r="A60" s="56"/>
      <c r="B60" s="61" t="s">
        <v>22</v>
      </c>
      <c r="C60" s="60"/>
      <c r="D60" s="63" t="s">
        <v>45</v>
      </c>
      <c r="E60" s="60"/>
      <c r="F60" s="60"/>
      <c r="G60" s="60"/>
      <c r="H60" s="156"/>
      <c r="I60" s="157" t="s">
        <v>2</v>
      </c>
      <c r="J60" s="158"/>
      <c r="K60" s="156"/>
      <c r="L60" s="157" t="s">
        <v>2</v>
      </c>
      <c r="M60" s="158"/>
      <c r="N60" s="156"/>
      <c r="O60" s="157" t="s">
        <v>2</v>
      </c>
      <c r="P60" s="158"/>
      <c r="Q60" s="156"/>
      <c r="R60" s="157" t="s">
        <v>2</v>
      </c>
      <c r="S60" s="158"/>
    </row>
    <row r="61" spans="1:19" ht="12.75" customHeight="1" thickBot="1" x14ac:dyDescent="0.25">
      <c r="A61" s="58" t="s">
        <v>1</v>
      </c>
      <c r="B61" s="62" t="s">
        <v>23</v>
      </c>
      <c r="C61" s="59"/>
      <c r="D61" s="13" t="s">
        <v>24</v>
      </c>
      <c r="E61" s="31"/>
      <c r="F61" s="33"/>
      <c r="G61" s="13"/>
      <c r="H61" s="126"/>
      <c r="I61" s="127" t="s">
        <v>2</v>
      </c>
      <c r="J61" s="128"/>
      <c r="K61" s="126"/>
      <c r="L61" s="127" t="s">
        <v>2</v>
      </c>
      <c r="M61" s="128"/>
      <c r="N61" s="126"/>
      <c r="O61" s="127" t="s">
        <v>2</v>
      </c>
      <c r="P61" s="128"/>
      <c r="Q61" s="126"/>
      <c r="R61" s="127" t="s">
        <v>2</v>
      </c>
      <c r="S61" s="128"/>
    </row>
    <row r="62" spans="1:19" ht="13.5" hidden="1" thickBot="1" x14ac:dyDescent="0.25">
      <c r="A62" s="57"/>
      <c r="B62" s="75" t="s">
        <v>26</v>
      </c>
      <c r="C62" s="79">
        <v>6.1100000000000002E-2</v>
      </c>
      <c r="D62" s="16" t="s">
        <v>27</v>
      </c>
      <c r="E62" s="2028">
        <v>11</v>
      </c>
      <c r="F62" s="2028"/>
      <c r="G62" s="6"/>
      <c r="H62" s="133"/>
      <c r="I62" s="134"/>
      <c r="J62" s="135"/>
      <c r="K62" s="133"/>
      <c r="L62" s="136"/>
      <c r="M62" s="135"/>
      <c r="N62" s="133"/>
      <c r="O62" s="136"/>
      <c r="P62" s="135"/>
      <c r="Q62" s="133"/>
      <c r="R62" s="136"/>
      <c r="S62" s="135"/>
    </row>
    <row r="63" spans="1:19" ht="13.5" hidden="1" thickBot="1" x14ac:dyDescent="0.25">
      <c r="A63" s="57"/>
      <c r="B63" s="201" t="s">
        <v>59</v>
      </c>
      <c r="C63" s="202"/>
      <c r="D63" s="16"/>
      <c r="E63" s="203" t="s">
        <v>58</v>
      </c>
      <c r="F63" s="204"/>
      <c r="G63" s="205"/>
      <c r="H63" s="206" t="s">
        <v>57</v>
      </c>
      <c r="I63" s="206"/>
      <c r="J63" s="206" t="s">
        <v>52</v>
      </c>
      <c r="K63" s="206"/>
      <c r="L63" s="206" t="s">
        <v>53</v>
      </c>
      <c r="M63" s="207"/>
      <c r="N63" s="206" t="s">
        <v>54</v>
      </c>
      <c r="O63" s="17"/>
      <c r="P63" s="221" t="s">
        <v>56</v>
      </c>
      <c r="Q63" s="206"/>
      <c r="R63" s="206" t="s">
        <v>55</v>
      </c>
      <c r="S63" s="208"/>
    </row>
    <row r="64" spans="1:19" ht="13.5" thickBot="1" x14ac:dyDescent="0.25">
      <c r="A64" s="11"/>
      <c r="B64" s="2029" t="s">
        <v>29</v>
      </c>
      <c r="C64" s="2030"/>
      <c r="D64" s="2030"/>
      <c r="E64" s="2030"/>
      <c r="F64" s="2030"/>
      <c r="G64" s="2031"/>
      <c r="H64" s="162">
        <f>SUM(I25,H60,H61)</f>
        <v>0</v>
      </c>
      <c r="I64" s="163" t="s">
        <v>2</v>
      </c>
      <c r="J64" s="164">
        <f>SUM(J25,J60,J61)</f>
        <v>0</v>
      </c>
      <c r="K64" s="162">
        <f>SUM(L25,H60,K61)</f>
        <v>0</v>
      </c>
      <c r="L64" s="163" t="s">
        <v>2</v>
      </c>
      <c r="M64" s="164">
        <f>SUM(M25,J60,M61)</f>
        <v>0</v>
      </c>
      <c r="N64" s="162">
        <f>SUM(O25,H60,N61)</f>
        <v>0</v>
      </c>
      <c r="O64" s="163" t="s">
        <v>2</v>
      </c>
      <c r="P64" s="164">
        <f>SUM(P25,J60,P61)</f>
        <v>0</v>
      </c>
      <c r="Q64" s="162">
        <f>SUM(R25,H60,Q61)</f>
        <v>0</v>
      </c>
      <c r="R64" s="163" t="s">
        <v>2</v>
      </c>
      <c r="S64" s="164">
        <f>SUM(S25,J60,S61)</f>
        <v>0</v>
      </c>
    </row>
    <row r="65" spans="1:19" x14ac:dyDescent="0.2">
      <c r="A65" s="66" t="s">
        <v>20</v>
      </c>
      <c r="B65" s="67"/>
      <c r="C65" s="68"/>
      <c r="D65" s="71"/>
      <c r="E65" s="2"/>
      <c r="F65" s="5"/>
      <c r="G65" s="6"/>
      <c r="H65" s="77"/>
      <c r="I65" s="72"/>
      <c r="J65" s="76"/>
      <c r="K65" s="78"/>
      <c r="L65" s="73"/>
      <c r="M65" s="76"/>
      <c r="N65" s="78"/>
      <c r="O65" s="73"/>
      <c r="P65" s="76"/>
      <c r="Q65" s="78"/>
      <c r="R65" s="73"/>
      <c r="S65" s="76"/>
    </row>
    <row r="66" spans="1:19" ht="15.75" thickBot="1" x14ac:dyDescent="0.3">
      <c r="A66" s="69" t="s">
        <v>21</v>
      </c>
      <c r="B66" s="65"/>
      <c r="C66" s="70"/>
      <c r="D66" s="65"/>
      <c r="E66" s="8"/>
      <c r="F66" s="65" t="s">
        <v>25</v>
      </c>
      <c r="G66" s="9"/>
      <c r="H66" s="120">
        <f>SUM(H59,H64)</f>
        <v>0</v>
      </c>
      <c r="I66" s="121" t="s">
        <v>2</v>
      </c>
      <c r="J66" s="122">
        <f>SUM(J59,J64)</f>
        <v>0</v>
      </c>
      <c r="K66" s="120">
        <f>SUM(K59,K64)</f>
        <v>0</v>
      </c>
      <c r="L66" s="121" t="s">
        <v>2</v>
      </c>
      <c r="M66" s="122">
        <f>SUM(M59,M64)</f>
        <v>0</v>
      </c>
      <c r="N66" s="120">
        <f>SUM(N59,N64)</f>
        <v>0</v>
      </c>
      <c r="O66" s="121" t="s">
        <v>2</v>
      </c>
      <c r="P66" s="122">
        <f>SUM(P59,P64)</f>
        <v>0</v>
      </c>
      <c r="Q66" s="120">
        <f>SUM(Q59,Q64)</f>
        <v>0</v>
      </c>
      <c r="R66" s="121" t="s">
        <v>2</v>
      </c>
      <c r="S66" s="122">
        <f>SUM(S59,S64)</f>
        <v>0</v>
      </c>
    </row>
    <row r="68" spans="1:19" x14ac:dyDescent="0.2">
      <c r="A68" t="s">
        <v>63</v>
      </c>
      <c r="B68" t="s">
        <v>65</v>
      </c>
    </row>
  </sheetData>
  <mergeCells count="7">
    <mergeCell ref="R3:S3"/>
    <mergeCell ref="E57:F57"/>
    <mergeCell ref="E62:F62"/>
    <mergeCell ref="B64:G64"/>
    <mergeCell ref="B59:G59"/>
    <mergeCell ref="E44:F44"/>
    <mergeCell ref="E46:F46"/>
  </mergeCells>
  <phoneticPr fontId="0" type="noConversion"/>
  <pageMargins left="1.46" right="0.75" top="0.56999999999999995" bottom="0.03" header="0.34" footer="0.11"/>
  <pageSetup paperSize="9" scale="66" orientation="portrait" r:id="rId1"/>
  <headerFooter alignWithMargins="0"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107"/>
  <sheetViews>
    <sheetView showZeros="0" view="pageBreakPreview" topLeftCell="A7" zoomScaleNormal="100" zoomScaleSheetLayoutView="100" workbookViewId="0">
      <selection activeCell="B36" sqref="B36"/>
    </sheetView>
  </sheetViews>
  <sheetFormatPr defaultRowHeight="12.75" x14ac:dyDescent="0.2"/>
  <cols>
    <col min="1" max="2" width="13.28515625" style="382" customWidth="1"/>
    <col min="3" max="4" width="12.140625" style="382" customWidth="1"/>
    <col min="5" max="5" width="5.140625" style="382" customWidth="1"/>
    <col min="6" max="6" width="8.140625" style="382" customWidth="1"/>
    <col min="7" max="7" width="8.5703125" style="382" customWidth="1"/>
    <col min="8" max="9" width="10" style="382" customWidth="1"/>
    <col min="10" max="43" width="8.7109375" style="382" customWidth="1"/>
    <col min="44" max="44" width="13.140625" style="382" customWidth="1"/>
    <col min="45" max="45" width="14.140625" style="382" customWidth="1"/>
    <col min="46" max="46" width="11.85546875" style="382" customWidth="1"/>
    <col min="47" max="79" width="8.7109375" style="382" customWidth="1"/>
    <col min="80" max="16384" width="9.140625" style="382"/>
  </cols>
  <sheetData>
    <row r="1" spans="1:84" s="230" customFormat="1" ht="26.25" customHeight="1" x14ac:dyDescent="0.35">
      <c r="A1" s="2033" t="s">
        <v>66</v>
      </c>
      <c r="B1" s="2033"/>
      <c r="C1" s="2033"/>
      <c r="D1" s="2033"/>
      <c r="E1" s="2033"/>
      <c r="F1" s="2033"/>
      <c r="G1" s="2033"/>
      <c r="H1" s="2033"/>
      <c r="I1" s="2033"/>
      <c r="J1" s="2033"/>
      <c r="K1" s="2033"/>
      <c r="L1" s="2033"/>
      <c r="M1" s="2033"/>
      <c r="N1" s="2033"/>
      <c r="O1" s="2033"/>
      <c r="P1" s="2033"/>
      <c r="Q1" s="2033"/>
      <c r="R1" s="2033"/>
      <c r="S1" s="2033"/>
      <c r="T1" s="2033"/>
      <c r="U1" s="2033"/>
      <c r="V1" s="2033"/>
      <c r="W1" s="2033"/>
      <c r="X1" s="2033"/>
      <c r="Y1" s="2033"/>
      <c r="Z1" s="2033"/>
      <c r="AA1" s="2033"/>
      <c r="AB1" s="2033"/>
      <c r="AC1" s="2033"/>
      <c r="AD1" s="2033"/>
      <c r="AE1" s="2033"/>
      <c r="AF1" s="2033"/>
      <c r="AG1" s="2033"/>
      <c r="AH1" s="2033"/>
      <c r="AI1" s="2033"/>
      <c r="AJ1" s="2033"/>
      <c r="AK1" s="2033"/>
      <c r="AL1" s="2033"/>
      <c r="AM1" s="2033"/>
      <c r="AN1" s="2033"/>
      <c r="AO1" s="2033"/>
      <c r="AP1" s="2033"/>
      <c r="AQ1" s="2033"/>
      <c r="BV1" s="231"/>
      <c r="BW1" s="231"/>
      <c r="BX1" s="231"/>
      <c r="BY1" s="232"/>
      <c r="BZ1" s="231"/>
      <c r="CA1" s="231"/>
      <c r="CB1" s="231"/>
      <c r="CC1" s="231"/>
    </row>
    <row r="2" spans="1:84" s="239" customFormat="1" ht="27.75" x14ac:dyDescent="0.4">
      <c r="A2" s="230"/>
      <c r="B2" s="231"/>
      <c r="C2" s="231"/>
      <c r="D2" s="231"/>
      <c r="E2" s="231"/>
      <c r="F2" s="233"/>
      <c r="G2" s="231"/>
      <c r="H2" s="231"/>
      <c r="I2" s="230"/>
      <c r="J2" s="230"/>
      <c r="K2" s="234"/>
      <c r="L2" s="234"/>
      <c r="M2" s="234"/>
      <c r="N2" s="235"/>
      <c r="O2" s="231"/>
      <c r="P2" s="231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6" t="s">
        <v>3</v>
      </c>
      <c r="AN2" s="2034">
        <v>45644</v>
      </c>
      <c r="AO2" s="2034"/>
      <c r="AP2" s="2034"/>
      <c r="AQ2" s="2034"/>
      <c r="AR2" s="230"/>
      <c r="AS2" s="230"/>
      <c r="AT2" s="230"/>
      <c r="AU2" s="230"/>
      <c r="AV2" s="230"/>
      <c r="AW2" s="230"/>
      <c r="AX2" s="230"/>
      <c r="AY2" s="230"/>
      <c r="AZ2" s="230"/>
      <c r="BA2" s="230"/>
      <c r="BB2" s="230"/>
      <c r="BC2" s="230"/>
      <c r="BD2" s="230"/>
      <c r="BE2" s="230"/>
      <c r="BF2" s="230"/>
      <c r="BG2" s="230"/>
      <c r="BH2" s="230"/>
      <c r="BI2" s="230"/>
      <c r="BJ2" s="230"/>
      <c r="BK2" s="230"/>
      <c r="BL2" s="230"/>
      <c r="BM2" s="230"/>
      <c r="BN2" s="230"/>
      <c r="BO2" s="230"/>
      <c r="BP2" s="230"/>
      <c r="BQ2" s="230"/>
      <c r="BR2" s="230"/>
      <c r="BS2" s="230"/>
      <c r="BT2" s="230"/>
      <c r="BU2" s="230"/>
      <c r="BV2" s="237"/>
      <c r="BW2" s="231"/>
      <c r="BX2" s="2035"/>
      <c r="BY2" s="2035"/>
      <c r="BZ2" s="2035"/>
      <c r="CA2" s="2035"/>
      <c r="CB2" s="238"/>
      <c r="CC2" s="238"/>
    </row>
    <row r="3" spans="1:84" s="239" customFormat="1" ht="18" thickBot="1" x14ac:dyDescent="0.35">
      <c r="A3" s="230"/>
      <c r="B3" s="231"/>
      <c r="C3" s="231"/>
      <c r="D3" s="231"/>
      <c r="E3" s="231"/>
      <c r="F3" s="233"/>
      <c r="G3" s="231"/>
      <c r="H3" s="231"/>
      <c r="I3" s="230"/>
      <c r="J3" s="230"/>
      <c r="K3" s="231"/>
      <c r="L3" s="230"/>
      <c r="M3" s="230"/>
      <c r="N3" s="231"/>
      <c r="O3" s="230"/>
      <c r="P3" s="230"/>
      <c r="Q3" s="231"/>
      <c r="R3" s="230"/>
      <c r="S3" s="230"/>
      <c r="T3" s="231"/>
      <c r="U3" s="230"/>
      <c r="V3" s="230"/>
      <c r="W3" s="231"/>
      <c r="X3" s="230"/>
      <c r="Y3" s="230"/>
      <c r="Z3" s="231"/>
      <c r="AA3" s="230"/>
      <c r="AB3" s="230"/>
      <c r="AC3" s="231"/>
      <c r="AD3" s="230"/>
      <c r="AE3" s="230"/>
      <c r="AF3" s="231"/>
      <c r="AG3" s="230"/>
      <c r="AH3" s="230"/>
      <c r="AI3" s="231"/>
      <c r="AJ3" s="230"/>
      <c r="AK3" s="230"/>
      <c r="AL3" s="231"/>
      <c r="AM3" s="230"/>
      <c r="AN3" s="230"/>
      <c r="AO3" s="231"/>
      <c r="AP3" s="230"/>
      <c r="AQ3" s="230"/>
      <c r="AR3" s="230"/>
      <c r="AS3" s="230"/>
      <c r="AT3" s="230"/>
      <c r="AU3" s="230"/>
      <c r="AV3" s="230"/>
      <c r="AW3" s="230"/>
      <c r="AX3" s="230"/>
      <c r="AY3" s="230"/>
      <c r="AZ3" s="230"/>
      <c r="BA3" s="230"/>
      <c r="BB3" s="230"/>
      <c r="BC3" s="230"/>
      <c r="BD3" s="230"/>
      <c r="BE3" s="230"/>
      <c r="BF3" s="230"/>
      <c r="BG3" s="230"/>
      <c r="BH3" s="230"/>
      <c r="BI3" s="230"/>
      <c r="BJ3" s="230"/>
      <c r="BK3" s="230"/>
      <c r="BL3" s="230"/>
      <c r="BM3" s="230"/>
      <c r="BN3" s="230"/>
      <c r="BO3" s="230"/>
      <c r="BP3" s="230"/>
      <c r="BQ3" s="230"/>
      <c r="BR3" s="230"/>
      <c r="BS3" s="230"/>
      <c r="BT3" s="230"/>
      <c r="BU3" s="230"/>
      <c r="BV3" s="230"/>
      <c r="BW3" s="230"/>
      <c r="BX3" s="231"/>
      <c r="BY3" s="231"/>
      <c r="BZ3" s="2036"/>
      <c r="CA3" s="2036"/>
      <c r="CB3" s="238"/>
      <c r="CC3" s="238"/>
    </row>
    <row r="4" spans="1:84" s="239" customFormat="1" ht="16.5" customHeight="1" thickBot="1" x14ac:dyDescent="0.3">
      <c r="A4" s="2037" t="s">
        <v>12</v>
      </c>
      <c r="B4" s="2038"/>
      <c r="C4" s="2038"/>
      <c r="D4" s="2038"/>
      <c r="E4" s="2038"/>
      <c r="F4" s="2038"/>
      <c r="G4" s="2039"/>
      <c r="H4" s="2040" t="s">
        <v>67</v>
      </c>
      <c r="I4" s="2041"/>
      <c r="J4" s="2042"/>
      <c r="K4" s="2040" t="s">
        <v>68</v>
      </c>
      <c r="L4" s="2041"/>
      <c r="M4" s="2042"/>
      <c r="N4" s="2040" t="s">
        <v>69</v>
      </c>
      <c r="O4" s="2041"/>
      <c r="P4" s="2042"/>
      <c r="Q4" s="2040" t="s">
        <v>70</v>
      </c>
      <c r="R4" s="2041"/>
      <c r="S4" s="2042"/>
      <c r="T4" s="2040" t="s">
        <v>71</v>
      </c>
      <c r="U4" s="2041"/>
      <c r="V4" s="2042"/>
      <c r="W4" s="2040" t="s">
        <v>72</v>
      </c>
      <c r="X4" s="2041"/>
      <c r="Y4" s="2042"/>
      <c r="Z4" s="2040" t="s">
        <v>73</v>
      </c>
      <c r="AA4" s="2041"/>
      <c r="AB4" s="2042"/>
      <c r="AC4" s="2040" t="s">
        <v>74</v>
      </c>
      <c r="AD4" s="2041"/>
      <c r="AE4" s="2042"/>
      <c r="AF4" s="2040" t="s">
        <v>75</v>
      </c>
      <c r="AG4" s="2041"/>
      <c r="AH4" s="2042"/>
      <c r="AI4" s="2040" t="s">
        <v>76</v>
      </c>
      <c r="AJ4" s="2041"/>
      <c r="AK4" s="2042"/>
      <c r="AL4" s="2040" t="s">
        <v>77</v>
      </c>
      <c r="AM4" s="2041"/>
      <c r="AN4" s="2042"/>
      <c r="AO4" s="2040" t="s">
        <v>78</v>
      </c>
      <c r="AP4" s="2041"/>
      <c r="AQ4" s="2042"/>
      <c r="BX4" s="238"/>
      <c r="BY4" s="238"/>
      <c r="BZ4" s="238"/>
      <c r="CA4" s="238"/>
      <c r="CB4" s="238"/>
      <c r="CC4" s="238"/>
    </row>
    <row r="5" spans="1:84" s="239" customFormat="1" ht="16.5" customHeight="1" x14ac:dyDescent="0.25">
      <c r="A5" s="2043" t="s">
        <v>79</v>
      </c>
      <c r="B5" s="2044"/>
      <c r="C5" s="2047" t="s">
        <v>80</v>
      </c>
      <c r="D5" s="2049"/>
      <c r="E5" s="2050"/>
      <c r="F5" s="2050"/>
      <c r="G5" s="2051"/>
      <c r="H5" s="240" t="s">
        <v>4</v>
      </c>
      <c r="I5" s="241" t="s">
        <v>9</v>
      </c>
      <c r="J5" s="242" t="s">
        <v>10</v>
      </c>
      <c r="K5" s="240" t="s">
        <v>4</v>
      </c>
      <c r="L5" s="241" t="s">
        <v>9</v>
      </c>
      <c r="M5" s="242" t="s">
        <v>10</v>
      </c>
      <c r="N5" s="240" t="s">
        <v>4</v>
      </c>
      <c r="O5" s="241" t="s">
        <v>9</v>
      </c>
      <c r="P5" s="242" t="s">
        <v>10</v>
      </c>
      <c r="Q5" s="240" t="s">
        <v>4</v>
      </c>
      <c r="R5" s="241" t="s">
        <v>9</v>
      </c>
      <c r="S5" s="242" t="s">
        <v>10</v>
      </c>
      <c r="T5" s="240" t="s">
        <v>4</v>
      </c>
      <c r="U5" s="241" t="s">
        <v>9</v>
      </c>
      <c r="V5" s="242" t="s">
        <v>10</v>
      </c>
      <c r="W5" s="240" t="s">
        <v>4</v>
      </c>
      <c r="X5" s="241" t="s">
        <v>9</v>
      </c>
      <c r="Y5" s="242" t="s">
        <v>10</v>
      </c>
      <c r="Z5" s="240" t="s">
        <v>4</v>
      </c>
      <c r="AA5" s="241" t="s">
        <v>9</v>
      </c>
      <c r="AB5" s="242" t="s">
        <v>10</v>
      </c>
      <c r="AC5" s="240" t="s">
        <v>4</v>
      </c>
      <c r="AD5" s="241" t="s">
        <v>9</v>
      </c>
      <c r="AE5" s="242" t="s">
        <v>10</v>
      </c>
      <c r="AF5" s="240" t="s">
        <v>4</v>
      </c>
      <c r="AG5" s="241" t="s">
        <v>9</v>
      </c>
      <c r="AH5" s="242" t="s">
        <v>10</v>
      </c>
      <c r="AI5" s="240" t="s">
        <v>4</v>
      </c>
      <c r="AJ5" s="241" t="s">
        <v>9</v>
      </c>
      <c r="AK5" s="242" t="s">
        <v>10</v>
      </c>
      <c r="AL5" s="240" t="s">
        <v>4</v>
      </c>
      <c r="AM5" s="241" t="s">
        <v>9</v>
      </c>
      <c r="AN5" s="242" t="s">
        <v>10</v>
      </c>
      <c r="AO5" s="240" t="s">
        <v>4</v>
      </c>
      <c r="AP5" s="241" t="s">
        <v>9</v>
      </c>
      <c r="AQ5" s="242" t="s">
        <v>10</v>
      </c>
    </row>
    <row r="6" spans="1:84" s="239" customFormat="1" ht="16.5" customHeight="1" thickBot="1" x14ac:dyDescent="0.3">
      <c r="A6" s="2045"/>
      <c r="B6" s="2046"/>
      <c r="C6" s="2048"/>
      <c r="D6" s="2052"/>
      <c r="E6" s="2053"/>
      <c r="F6" s="2053"/>
      <c r="G6" s="2054"/>
      <c r="H6" s="243" t="s">
        <v>30</v>
      </c>
      <c r="I6" s="244" t="s">
        <v>31</v>
      </c>
      <c r="J6" s="245" t="s">
        <v>32</v>
      </c>
      <c r="K6" s="243" t="s">
        <v>30</v>
      </c>
      <c r="L6" s="244" t="s">
        <v>31</v>
      </c>
      <c r="M6" s="245" t="s">
        <v>32</v>
      </c>
      <c r="N6" s="243" t="s">
        <v>30</v>
      </c>
      <c r="O6" s="244" t="s">
        <v>31</v>
      </c>
      <c r="P6" s="245" t="s">
        <v>32</v>
      </c>
      <c r="Q6" s="243" t="s">
        <v>30</v>
      </c>
      <c r="R6" s="244" t="s">
        <v>31</v>
      </c>
      <c r="S6" s="245" t="s">
        <v>32</v>
      </c>
      <c r="T6" s="243" t="s">
        <v>30</v>
      </c>
      <c r="U6" s="244" t="s">
        <v>31</v>
      </c>
      <c r="V6" s="245" t="s">
        <v>32</v>
      </c>
      <c r="W6" s="243" t="s">
        <v>30</v>
      </c>
      <c r="X6" s="244" t="s">
        <v>31</v>
      </c>
      <c r="Y6" s="245" t="s">
        <v>32</v>
      </c>
      <c r="Z6" s="243" t="s">
        <v>30</v>
      </c>
      <c r="AA6" s="244" t="s">
        <v>31</v>
      </c>
      <c r="AB6" s="245" t="s">
        <v>32</v>
      </c>
      <c r="AC6" s="243" t="s">
        <v>30</v>
      </c>
      <c r="AD6" s="244" t="s">
        <v>31</v>
      </c>
      <c r="AE6" s="245" t="s">
        <v>32</v>
      </c>
      <c r="AF6" s="243" t="s">
        <v>30</v>
      </c>
      <c r="AG6" s="244" t="s">
        <v>31</v>
      </c>
      <c r="AH6" s="245" t="s">
        <v>32</v>
      </c>
      <c r="AI6" s="243" t="s">
        <v>30</v>
      </c>
      <c r="AJ6" s="244" t="s">
        <v>31</v>
      </c>
      <c r="AK6" s="245" t="s">
        <v>32</v>
      </c>
      <c r="AL6" s="243" t="s">
        <v>30</v>
      </c>
      <c r="AM6" s="244" t="s">
        <v>31</v>
      </c>
      <c r="AN6" s="245" t="s">
        <v>32</v>
      </c>
      <c r="AO6" s="243" t="s">
        <v>30</v>
      </c>
      <c r="AP6" s="244" t="s">
        <v>31</v>
      </c>
      <c r="AQ6" s="245" t="s">
        <v>32</v>
      </c>
    </row>
    <row r="7" spans="1:84" s="230" customFormat="1" ht="16.5" customHeight="1" x14ac:dyDescent="0.25">
      <c r="A7" s="2055" t="s">
        <v>0</v>
      </c>
      <c r="B7" s="2056"/>
      <c r="C7" s="2061">
        <v>25</v>
      </c>
      <c r="D7" s="2064" t="s">
        <v>13</v>
      </c>
      <c r="E7" s="2065"/>
      <c r="F7" s="2068" t="s">
        <v>81</v>
      </c>
      <c r="G7" s="2069"/>
      <c r="H7" s="246">
        <f>SQRT(I7^2+J7^2)*1000/(1.73*H10)</f>
        <v>0</v>
      </c>
      <c r="I7" s="247">
        <v>0</v>
      </c>
      <c r="J7" s="248">
        <v>0</v>
      </c>
      <c r="K7" s="246">
        <f>SQRT(L7^2+M7^2)*1000/(1.73*K10)</f>
        <v>0</v>
      </c>
      <c r="L7" s="247">
        <v>0</v>
      </c>
      <c r="M7" s="248">
        <v>0</v>
      </c>
      <c r="N7" s="246">
        <f>SQRT(O7^2+P7^2)*1000/(1.73*N10)</f>
        <v>0</v>
      </c>
      <c r="O7" s="247">
        <v>0</v>
      </c>
      <c r="P7" s="248">
        <v>0</v>
      </c>
      <c r="Q7" s="246">
        <f>SQRT(R7^2+S7^2)*1000/(1.73*Q10)</f>
        <v>0</v>
      </c>
      <c r="R7" s="247">
        <v>0</v>
      </c>
      <c r="S7" s="248">
        <v>0</v>
      </c>
      <c r="T7" s="246">
        <f>SQRT(U7^2+V7^2)*1000/(1.73*T10)</f>
        <v>0</v>
      </c>
      <c r="U7" s="247">
        <v>0</v>
      </c>
      <c r="V7" s="248">
        <v>0</v>
      </c>
      <c r="W7" s="246">
        <f>SQRT(X7^2+Y7^2)*1000/(1.73*W10)</f>
        <v>0</v>
      </c>
      <c r="X7" s="247">
        <v>0</v>
      </c>
      <c r="Y7" s="248">
        <v>0</v>
      </c>
      <c r="Z7" s="246">
        <f>SQRT(AA7^2+AB7^2)*1000/(1.73*Z10)</f>
        <v>0</v>
      </c>
      <c r="AA7" s="247">
        <v>0</v>
      </c>
      <c r="AB7" s="248">
        <v>0</v>
      </c>
      <c r="AC7" s="246">
        <f>SQRT(AD7^2+AE7^2)*1000/(1.73*AC10)</f>
        <v>0</v>
      </c>
      <c r="AD7" s="247">
        <v>0</v>
      </c>
      <c r="AE7" s="248">
        <v>0</v>
      </c>
      <c r="AF7" s="246">
        <f>SQRT(AG7^2+AH7^2)*1000/(1.73*AF10)</f>
        <v>0</v>
      </c>
      <c r="AG7" s="247">
        <v>0</v>
      </c>
      <c r="AH7" s="248">
        <v>0</v>
      </c>
      <c r="AI7" s="246">
        <f>SQRT(AJ7^2+AK7^2)*1000/(1.73*AI10)</f>
        <v>0</v>
      </c>
      <c r="AJ7" s="247">
        <v>0</v>
      </c>
      <c r="AK7" s="248">
        <v>0</v>
      </c>
      <c r="AL7" s="246">
        <f>SQRT(AM7^2+AN7^2)*1000/(1.73*AL10)</f>
        <v>0</v>
      </c>
      <c r="AM7" s="247">
        <v>0</v>
      </c>
      <c r="AN7" s="248">
        <v>0</v>
      </c>
      <c r="AO7" s="246">
        <f>SQRT(AP7^2+AQ7^2)*1000/(1.73*AO10)</f>
        <v>0</v>
      </c>
      <c r="AP7" s="247">
        <v>0</v>
      </c>
      <c r="AQ7" s="248">
        <v>0</v>
      </c>
      <c r="AR7" s="249"/>
      <c r="AS7" s="249"/>
      <c r="CB7" s="249"/>
      <c r="CC7" s="249"/>
      <c r="CE7" s="249"/>
      <c r="CF7" s="249"/>
    </row>
    <row r="8" spans="1:84" s="230" customFormat="1" ht="16.5" customHeight="1" thickBot="1" x14ac:dyDescent="0.3">
      <c r="A8" s="2057"/>
      <c r="B8" s="2058"/>
      <c r="C8" s="2062"/>
      <c r="D8" s="2066"/>
      <c r="E8" s="2067"/>
      <c r="F8" s="2070" t="s">
        <v>82</v>
      </c>
      <c r="G8" s="2071"/>
      <c r="H8" s="250">
        <f>SQRT(I8^2+J8^2)*1000/(1.73*H11)</f>
        <v>52.066716947495408</v>
      </c>
      <c r="I8" s="251">
        <f>I33+I31</f>
        <v>0.91899999999999993</v>
      </c>
      <c r="J8" s="252">
        <f>J33+J31</f>
        <v>0.25900000000000001</v>
      </c>
      <c r="K8" s="250">
        <f>SQRT(L8^2+M8^2)*1000/(1.73*K11)</f>
        <v>52.388497406010444</v>
      </c>
      <c r="L8" s="251">
        <f>L33+L31</f>
        <v>0.92399999999999993</v>
      </c>
      <c r="M8" s="252">
        <f>M33+M31</f>
        <v>0.26300000000000001</v>
      </c>
      <c r="N8" s="250">
        <f>SQRT(O8^2+P8^2)*1000/(1.73*N11)</f>
        <v>50.945741578800892</v>
      </c>
      <c r="O8" s="251">
        <f>O33+O31</f>
        <v>0.90100000000000002</v>
      </c>
      <c r="P8" s="252">
        <f>P33+P31</f>
        <v>0.247</v>
      </c>
      <c r="Q8" s="250">
        <f>SQRT(R8^2+S8^2)*1000/(1.73*Q11)</f>
        <v>51.079815687741302</v>
      </c>
      <c r="R8" s="251">
        <f>R33+R31</f>
        <v>0.90300000000000002</v>
      </c>
      <c r="S8" s="252">
        <f>S33+S31</f>
        <v>0.249</v>
      </c>
      <c r="T8" s="250">
        <f>SQRT(U8^2+V8^2)*1000/(1.73*T11)</f>
        <v>51.749285531036868</v>
      </c>
      <c r="U8" s="251">
        <f>U33+U31</f>
        <v>0.91599999999999993</v>
      </c>
      <c r="V8" s="252">
        <f>V33+V31</f>
        <v>0.248</v>
      </c>
      <c r="W8" s="250">
        <f>SQRT(X8^2+Y8^2)*1000/(1.73*W11)</f>
        <v>52.347044514017604</v>
      </c>
      <c r="X8" s="251">
        <f>X33+X31</f>
        <v>0.92599999999999993</v>
      </c>
      <c r="Y8" s="252">
        <f>Y33+Y31</f>
        <v>0.253</v>
      </c>
      <c r="Z8" s="250">
        <f>SQRT(AA8^2+AB8^2)*1000/(1.73*Z11)</f>
        <v>54.878870089685989</v>
      </c>
      <c r="AA8" s="251">
        <f>AA33+AA31</f>
        <v>0.97299999999999998</v>
      </c>
      <c r="AB8" s="252">
        <f>AB33+AB31</f>
        <v>0.25700000000000001</v>
      </c>
      <c r="AC8" s="250">
        <f>SQRT(AD8^2+AE8^2)*1000/(1.73*AC11)</f>
        <v>59.608996840248551</v>
      </c>
      <c r="AD8" s="251">
        <f>AD33+AD31</f>
        <v>1.06</v>
      </c>
      <c r="AE8" s="252">
        <f>AE33+AE31</f>
        <v>0.26700000000000002</v>
      </c>
      <c r="AF8" s="250">
        <f>SQRT(AG8^2+AH8^2)*1000/(1.73*AF11)</f>
        <v>64.305582368363972</v>
      </c>
      <c r="AG8" s="251">
        <f>AG33+AG31</f>
        <v>1.121</v>
      </c>
      <c r="AH8" s="252">
        <f>AH33+AH31</f>
        <v>0.36599999999999999</v>
      </c>
      <c r="AI8" s="250">
        <f>SQRT(AJ8^2+AK8^2)*1000/(1.73*AI11)</f>
        <v>65.621266669747484</v>
      </c>
      <c r="AJ8" s="251">
        <f>AJ33+AJ31</f>
        <v>1.131</v>
      </c>
      <c r="AK8" s="252">
        <f>AK33+AK31</f>
        <v>0.41100000000000003</v>
      </c>
      <c r="AL8" s="250">
        <f>SQRT(AM8^2+AN8^2)*1000/(1.73*AL11)</f>
        <v>62.466673491831671</v>
      </c>
      <c r="AM8" s="251">
        <f>AM33+AM31</f>
        <v>1.081</v>
      </c>
      <c r="AN8" s="252">
        <f>AN33+AN31</f>
        <v>0.379</v>
      </c>
      <c r="AO8" s="250">
        <f>SQRT(AP8^2+AQ8^2)*1000/(1.73*AO11)</f>
        <v>63.685524393319575</v>
      </c>
      <c r="AP8" s="251">
        <f>AP33+AP31</f>
        <v>1.105</v>
      </c>
      <c r="AQ8" s="252">
        <f>AQ33+AQ31</f>
        <v>0.378</v>
      </c>
      <c r="AR8" s="249"/>
      <c r="AS8" s="249"/>
      <c r="CB8" s="249"/>
      <c r="CC8" s="249"/>
      <c r="CE8" s="249"/>
      <c r="CF8" s="249"/>
    </row>
    <row r="9" spans="1:84" s="230" customFormat="1" ht="16.5" customHeight="1" thickBot="1" x14ac:dyDescent="0.3">
      <c r="A9" s="2057"/>
      <c r="B9" s="2058"/>
      <c r="C9" s="2062"/>
      <c r="D9" s="2072" t="s">
        <v>39</v>
      </c>
      <c r="E9" s="2073"/>
      <c r="F9" s="2073"/>
      <c r="G9" s="2074"/>
      <c r="H9" s="2075">
        <v>7</v>
      </c>
      <c r="I9" s="2076"/>
      <c r="J9" s="2077"/>
      <c r="K9" s="2075">
        <v>7</v>
      </c>
      <c r="L9" s="2076"/>
      <c r="M9" s="2077"/>
      <c r="N9" s="2075">
        <v>7</v>
      </c>
      <c r="O9" s="2076"/>
      <c r="P9" s="2077"/>
      <c r="Q9" s="2075">
        <v>7</v>
      </c>
      <c r="R9" s="2076"/>
      <c r="S9" s="2077"/>
      <c r="T9" s="2075">
        <v>7</v>
      </c>
      <c r="U9" s="2076"/>
      <c r="V9" s="2077"/>
      <c r="W9" s="2075">
        <v>7</v>
      </c>
      <c r="X9" s="2076"/>
      <c r="Y9" s="2077"/>
      <c r="Z9" s="2075">
        <v>7</v>
      </c>
      <c r="AA9" s="2076"/>
      <c r="AB9" s="2077"/>
      <c r="AC9" s="2075">
        <v>7</v>
      </c>
      <c r="AD9" s="2076"/>
      <c r="AE9" s="2077"/>
      <c r="AF9" s="2075">
        <v>7</v>
      </c>
      <c r="AG9" s="2076"/>
      <c r="AH9" s="2077"/>
      <c r="AI9" s="2075">
        <v>7</v>
      </c>
      <c r="AJ9" s="2076"/>
      <c r="AK9" s="2077"/>
      <c r="AL9" s="2075">
        <v>7</v>
      </c>
      <c r="AM9" s="2076"/>
      <c r="AN9" s="2077"/>
      <c r="AO9" s="2075">
        <v>7</v>
      </c>
      <c r="AP9" s="2076"/>
      <c r="AQ9" s="2077"/>
    </row>
    <row r="10" spans="1:84" s="230" customFormat="1" ht="16.5" customHeight="1" x14ac:dyDescent="0.25">
      <c r="A10" s="2057"/>
      <c r="B10" s="2058"/>
      <c r="C10" s="2062"/>
      <c r="D10" s="2078" t="s">
        <v>14</v>
      </c>
      <c r="E10" s="2056"/>
      <c r="F10" s="2068" t="s">
        <v>81</v>
      </c>
      <c r="G10" s="2069"/>
      <c r="H10" s="2079">
        <v>121</v>
      </c>
      <c r="I10" s="2080"/>
      <c r="J10" s="2081"/>
      <c r="K10" s="2079">
        <v>121</v>
      </c>
      <c r="L10" s="2080"/>
      <c r="M10" s="2081"/>
      <c r="N10" s="2079">
        <v>121</v>
      </c>
      <c r="O10" s="2080"/>
      <c r="P10" s="2081"/>
      <c r="Q10" s="2079">
        <v>121</v>
      </c>
      <c r="R10" s="2080"/>
      <c r="S10" s="2081"/>
      <c r="T10" s="2079">
        <v>121</v>
      </c>
      <c r="U10" s="2080"/>
      <c r="V10" s="2081"/>
      <c r="W10" s="2079">
        <v>121</v>
      </c>
      <c r="X10" s="2080"/>
      <c r="Y10" s="2081"/>
      <c r="Z10" s="2079">
        <v>121</v>
      </c>
      <c r="AA10" s="2080"/>
      <c r="AB10" s="2081"/>
      <c r="AC10" s="2079">
        <v>121</v>
      </c>
      <c r="AD10" s="2080"/>
      <c r="AE10" s="2081"/>
      <c r="AF10" s="2079">
        <v>121</v>
      </c>
      <c r="AG10" s="2080"/>
      <c r="AH10" s="2081"/>
      <c r="AI10" s="2079">
        <v>121</v>
      </c>
      <c r="AJ10" s="2080"/>
      <c r="AK10" s="2081"/>
      <c r="AL10" s="2079">
        <v>121</v>
      </c>
      <c r="AM10" s="2080"/>
      <c r="AN10" s="2081"/>
      <c r="AO10" s="2079">
        <v>121</v>
      </c>
      <c r="AP10" s="2080"/>
      <c r="AQ10" s="2081"/>
    </row>
    <row r="11" spans="1:84" s="230" customFormat="1" ht="16.5" customHeight="1" thickBot="1" x14ac:dyDescent="0.3">
      <c r="A11" s="2057"/>
      <c r="B11" s="2058"/>
      <c r="C11" s="2062"/>
      <c r="D11" s="2059"/>
      <c r="E11" s="2060"/>
      <c r="F11" s="2070" t="s">
        <v>82</v>
      </c>
      <c r="G11" s="2071"/>
      <c r="H11" s="2082">
        <v>10.6</v>
      </c>
      <c r="I11" s="2083"/>
      <c r="J11" s="2084"/>
      <c r="K11" s="2082">
        <v>10.6</v>
      </c>
      <c r="L11" s="2083"/>
      <c r="M11" s="2084"/>
      <c r="N11" s="2082">
        <v>10.6</v>
      </c>
      <c r="O11" s="2083"/>
      <c r="P11" s="2084"/>
      <c r="Q11" s="2082">
        <v>10.6</v>
      </c>
      <c r="R11" s="2083"/>
      <c r="S11" s="2084"/>
      <c r="T11" s="2082">
        <v>10.6</v>
      </c>
      <c r="U11" s="2083"/>
      <c r="V11" s="2084"/>
      <c r="W11" s="2082">
        <v>10.6</v>
      </c>
      <c r="X11" s="2083"/>
      <c r="Y11" s="2084"/>
      <c r="Z11" s="2082">
        <v>10.6</v>
      </c>
      <c r="AA11" s="2083"/>
      <c r="AB11" s="2084"/>
      <c r="AC11" s="2082">
        <v>10.6</v>
      </c>
      <c r="AD11" s="2083"/>
      <c r="AE11" s="2084"/>
      <c r="AF11" s="2082">
        <v>10.6</v>
      </c>
      <c r="AG11" s="2083"/>
      <c r="AH11" s="2084"/>
      <c r="AI11" s="2082">
        <v>10.6</v>
      </c>
      <c r="AJ11" s="2083"/>
      <c r="AK11" s="2084"/>
      <c r="AL11" s="2082">
        <v>10.6</v>
      </c>
      <c r="AM11" s="2083"/>
      <c r="AN11" s="2084"/>
      <c r="AO11" s="2082">
        <v>10.6</v>
      </c>
      <c r="AP11" s="2083"/>
      <c r="AQ11" s="2084"/>
    </row>
    <row r="12" spans="1:84" s="230" customFormat="1" ht="16.5" customHeight="1" thickBot="1" x14ac:dyDescent="0.3">
      <c r="A12" s="2059"/>
      <c r="B12" s="2060"/>
      <c r="C12" s="2063"/>
      <c r="D12" s="2072" t="s">
        <v>83</v>
      </c>
      <c r="E12" s="2073"/>
      <c r="F12" s="2073"/>
      <c r="G12" s="2074"/>
      <c r="H12" s="2085" t="s">
        <v>84</v>
      </c>
      <c r="I12" s="2086"/>
      <c r="J12" s="2087"/>
      <c r="K12" s="2085" t="s">
        <v>84</v>
      </c>
      <c r="L12" s="2086"/>
      <c r="M12" s="2087"/>
      <c r="N12" s="2085" t="s">
        <v>84</v>
      </c>
      <c r="O12" s="2086"/>
      <c r="P12" s="2087"/>
      <c r="Q12" s="2085" t="s">
        <v>84</v>
      </c>
      <c r="R12" s="2086"/>
      <c r="S12" s="2087"/>
      <c r="T12" s="2085" t="s">
        <v>84</v>
      </c>
      <c r="U12" s="2086"/>
      <c r="V12" s="2087"/>
      <c r="W12" s="2085" t="s">
        <v>84</v>
      </c>
      <c r="X12" s="2086"/>
      <c r="Y12" s="2087"/>
      <c r="Z12" s="2085" t="s">
        <v>84</v>
      </c>
      <c r="AA12" s="2086"/>
      <c r="AB12" s="2087"/>
      <c r="AC12" s="2085" t="s">
        <v>84</v>
      </c>
      <c r="AD12" s="2086"/>
      <c r="AE12" s="2087"/>
      <c r="AF12" s="2085" t="s">
        <v>84</v>
      </c>
      <c r="AG12" s="2086"/>
      <c r="AH12" s="2087"/>
      <c r="AI12" s="2085" t="s">
        <v>84</v>
      </c>
      <c r="AJ12" s="2086"/>
      <c r="AK12" s="2087"/>
      <c r="AL12" s="2085" t="s">
        <v>84</v>
      </c>
      <c r="AM12" s="2086"/>
      <c r="AN12" s="2087"/>
      <c r="AO12" s="2085" t="s">
        <v>84</v>
      </c>
      <c r="AP12" s="2086"/>
      <c r="AQ12" s="2087"/>
    </row>
    <row r="13" spans="1:84" s="230" customFormat="1" ht="16.5" customHeight="1" x14ac:dyDescent="0.25">
      <c r="A13" s="2055" t="s">
        <v>85</v>
      </c>
      <c r="B13" s="2056"/>
      <c r="C13" s="2061">
        <v>25</v>
      </c>
      <c r="D13" s="2064" t="s">
        <v>13</v>
      </c>
      <c r="E13" s="2065"/>
      <c r="F13" s="2068" t="s">
        <v>81</v>
      </c>
      <c r="G13" s="2088"/>
      <c r="H13" s="246">
        <f>SQRT(I13^2+J13^2)*1000/(1.73*H16)</f>
        <v>0</v>
      </c>
      <c r="I13" s="247">
        <v>0</v>
      </c>
      <c r="J13" s="248">
        <v>0</v>
      </c>
      <c r="K13" s="246">
        <f>SQRT(L13^2+M13^2)*1000/(1.73*K16)</f>
        <v>0</v>
      </c>
      <c r="L13" s="247">
        <v>0</v>
      </c>
      <c r="M13" s="248">
        <v>0</v>
      </c>
      <c r="N13" s="246">
        <f>SQRT(O13^2+P13^2)*1000/(1.73*N16)</f>
        <v>0</v>
      </c>
      <c r="O13" s="247">
        <v>0</v>
      </c>
      <c r="P13" s="248">
        <v>0</v>
      </c>
      <c r="Q13" s="246">
        <f>SQRT(R13^2+S13^2)*1000/(1.73*Q16)</f>
        <v>0</v>
      </c>
      <c r="R13" s="247">
        <v>0</v>
      </c>
      <c r="S13" s="248">
        <v>0</v>
      </c>
      <c r="T13" s="246">
        <f>SQRT(U13^2+V13^2)*1000/(1.73*T16)</f>
        <v>0</v>
      </c>
      <c r="U13" s="247">
        <v>0</v>
      </c>
      <c r="V13" s="248">
        <v>0</v>
      </c>
      <c r="W13" s="246">
        <f>SQRT(X13^2+Y13^2)*1000/(1.73*W16)</f>
        <v>0</v>
      </c>
      <c r="X13" s="247">
        <v>0</v>
      </c>
      <c r="Y13" s="248">
        <v>0</v>
      </c>
      <c r="Z13" s="246">
        <f>SQRT(AA13^2+AB13^2)*1000/(1.73*Z16)</f>
        <v>0</v>
      </c>
      <c r="AA13" s="247">
        <v>0</v>
      </c>
      <c r="AB13" s="248">
        <v>0</v>
      </c>
      <c r="AC13" s="246">
        <f>SQRT(AD13^2+AE13^2)*1000/(1.73*AC16)</f>
        <v>0</v>
      </c>
      <c r="AD13" s="247">
        <v>0</v>
      </c>
      <c r="AE13" s="248">
        <v>0</v>
      </c>
      <c r="AF13" s="246">
        <f>SQRT(AG13^2+AH13^2)*1000/(1.73*AF16)</f>
        <v>0</v>
      </c>
      <c r="AG13" s="247">
        <v>0</v>
      </c>
      <c r="AH13" s="248">
        <v>0</v>
      </c>
      <c r="AI13" s="246">
        <f>SQRT(AJ13^2+AK13^2)*1000/(1.73*AI16)</f>
        <v>0</v>
      </c>
      <c r="AJ13" s="247">
        <v>0</v>
      </c>
      <c r="AK13" s="248">
        <v>0</v>
      </c>
      <c r="AL13" s="246">
        <f>SQRT(AM13^2+AN13^2)*1000/(1.73*AL16)</f>
        <v>0</v>
      </c>
      <c r="AM13" s="247">
        <v>0</v>
      </c>
      <c r="AN13" s="248">
        <v>0</v>
      </c>
      <c r="AO13" s="246">
        <f>SQRT(AP13^2+AQ13^2)*1000/(1.73*AO16)</f>
        <v>0</v>
      </c>
      <c r="AP13" s="247">
        <v>0</v>
      </c>
      <c r="AQ13" s="248">
        <v>0</v>
      </c>
      <c r="AR13" s="249"/>
      <c r="AS13" s="249"/>
      <c r="CB13" s="249"/>
      <c r="CC13" s="249"/>
    </row>
    <row r="14" spans="1:84" s="230" customFormat="1" ht="16.5" customHeight="1" thickBot="1" x14ac:dyDescent="0.3">
      <c r="A14" s="2057"/>
      <c r="B14" s="2058"/>
      <c r="C14" s="2062"/>
      <c r="D14" s="2066"/>
      <c r="E14" s="2067"/>
      <c r="F14" s="2070" t="s">
        <v>82</v>
      </c>
      <c r="G14" s="2089"/>
      <c r="H14" s="250">
        <f>SQRT(I14^2+J14^2)*1000/(1.73*H17)</f>
        <v>129.19159739513222</v>
      </c>
      <c r="I14" s="251">
        <f>I34+I32</f>
        <v>2.302</v>
      </c>
      <c r="J14" s="252">
        <f>J34+J32</f>
        <v>0.64799999999999991</v>
      </c>
      <c r="K14" s="250">
        <f>SQRT(L14^2+M14^2)*1000/(1.73*K17)</f>
        <v>128.76908208764681</v>
      </c>
      <c r="L14" s="251">
        <f>L34+L32</f>
        <v>2.2949999999999999</v>
      </c>
      <c r="M14" s="252">
        <f>M34+M32</f>
        <v>0.64400000000000002</v>
      </c>
      <c r="N14" s="250">
        <f>SQRT(O14^2+P14^2)*1000/(1.73*N17)</f>
        <v>127.62400102766085</v>
      </c>
      <c r="O14" s="251">
        <f>O34+O32</f>
        <v>2.2779999999999996</v>
      </c>
      <c r="P14" s="252">
        <f>P34+P32</f>
        <v>0.626</v>
      </c>
      <c r="Q14" s="250">
        <f>SQRT(R14^2+S14^2)*1000/(1.73*Q17)</f>
        <v>129.26347966867692</v>
      </c>
      <c r="R14" s="251">
        <f>R34+R32</f>
        <v>2.3069999999999999</v>
      </c>
      <c r="S14" s="252">
        <f>S34+S32</f>
        <v>0.63500000000000001</v>
      </c>
      <c r="T14" s="250">
        <f>SQRT(U14^2+V14^2)*1000/(1.73*T17)</f>
        <v>126.86099456205291</v>
      </c>
      <c r="U14" s="251">
        <f>U34+U32</f>
        <v>2.2650000000000001</v>
      </c>
      <c r="V14" s="252">
        <f>V34+V32</f>
        <v>0.62</v>
      </c>
      <c r="W14" s="250">
        <f>SQRT(X14^2+Y14^2)*1000/(1.73*W17)</f>
        <v>134.27596708530717</v>
      </c>
      <c r="X14" s="251">
        <f>X34+X32</f>
        <v>2.3980000000000001</v>
      </c>
      <c r="Y14" s="252">
        <f>Y34+Y32</f>
        <v>0.65400000000000003</v>
      </c>
      <c r="Z14" s="250">
        <f>SQRT(AA14^2+AB14^2)*1000/(1.73*Z17)</f>
        <v>138.72129730435327</v>
      </c>
      <c r="AA14" s="251">
        <f>AA34+AA32</f>
        <v>2.4799999999999995</v>
      </c>
      <c r="AB14" s="252">
        <f>AB34+AB32</f>
        <v>0.66600000000000004</v>
      </c>
      <c r="AC14" s="250">
        <f>SQRT(AD14^2+AE14^2)*1000/(1.73*AC17)</f>
        <v>140.99691371209562</v>
      </c>
      <c r="AD14" s="251">
        <f>AD34+AD32</f>
        <v>2.5220000000000002</v>
      </c>
      <c r="AE14" s="252">
        <f>AE34+AE32</f>
        <v>0.67200000000000004</v>
      </c>
      <c r="AF14" s="250">
        <f>SQRT(AG14^2+AH14^2)*1000/(1.73*AF17)</f>
        <v>151.38288376767795</v>
      </c>
      <c r="AG14" s="251">
        <f>AG34+AG32</f>
        <v>2.649</v>
      </c>
      <c r="AH14" s="252">
        <f>AH34+AH32</f>
        <v>0.91399999999999992</v>
      </c>
      <c r="AI14" s="250">
        <f>SQRT(AJ14^2+AK14^2)*1000/(1.73*AI17)</f>
        <v>148.25525965051773</v>
      </c>
      <c r="AJ14" s="251">
        <f>AJ34+AJ32</f>
        <v>2.5950000000000002</v>
      </c>
      <c r="AK14" s="252">
        <f>AK34+AK32</f>
        <v>0.89300000000000002</v>
      </c>
      <c r="AL14" s="250">
        <f>SQRT(AM14^2+AN14^2)*1000/(1.73*AL17)</f>
        <v>142.24258069126725</v>
      </c>
      <c r="AM14" s="251">
        <f>AM34+AM32</f>
        <v>2.5129999999999999</v>
      </c>
      <c r="AN14" s="252">
        <f>AN34+AN32</f>
        <v>0.78600000000000003</v>
      </c>
      <c r="AO14" s="250">
        <f>SQRT(AP14^2+AQ14^2)*1000/(1.73*AO17)</f>
        <v>142.72200033876624</v>
      </c>
      <c r="AP14" s="251">
        <f>AP34+AP32</f>
        <v>2.4969999999999999</v>
      </c>
      <c r="AQ14" s="252">
        <f>AQ34+AQ32</f>
        <v>0.86299999999999999</v>
      </c>
      <c r="AR14" s="249"/>
      <c r="AS14" s="249"/>
      <c r="CB14" s="249"/>
      <c r="CC14" s="249"/>
    </row>
    <row r="15" spans="1:84" s="230" customFormat="1" ht="16.5" customHeight="1" thickBot="1" x14ac:dyDescent="0.3">
      <c r="A15" s="2057"/>
      <c r="B15" s="2058"/>
      <c r="C15" s="2062"/>
      <c r="D15" s="2072" t="s">
        <v>39</v>
      </c>
      <c r="E15" s="2073"/>
      <c r="F15" s="2073"/>
      <c r="G15" s="2074"/>
      <c r="H15" s="2075">
        <v>7</v>
      </c>
      <c r="I15" s="2076"/>
      <c r="J15" s="2077"/>
      <c r="K15" s="2075">
        <v>7</v>
      </c>
      <c r="L15" s="2076"/>
      <c r="M15" s="2077"/>
      <c r="N15" s="2075">
        <v>7</v>
      </c>
      <c r="O15" s="2076"/>
      <c r="P15" s="2077"/>
      <c r="Q15" s="2075">
        <v>7</v>
      </c>
      <c r="R15" s="2076"/>
      <c r="S15" s="2077"/>
      <c r="T15" s="2075">
        <v>7</v>
      </c>
      <c r="U15" s="2076"/>
      <c r="V15" s="2077"/>
      <c r="W15" s="2075">
        <v>7</v>
      </c>
      <c r="X15" s="2076"/>
      <c r="Y15" s="2077"/>
      <c r="Z15" s="2075">
        <v>7</v>
      </c>
      <c r="AA15" s="2076"/>
      <c r="AB15" s="2077"/>
      <c r="AC15" s="2075">
        <v>7</v>
      </c>
      <c r="AD15" s="2076"/>
      <c r="AE15" s="2077"/>
      <c r="AF15" s="2075">
        <v>7</v>
      </c>
      <c r="AG15" s="2076"/>
      <c r="AH15" s="2077"/>
      <c r="AI15" s="2075">
        <v>7</v>
      </c>
      <c r="AJ15" s="2076"/>
      <c r="AK15" s="2077"/>
      <c r="AL15" s="2075">
        <v>7</v>
      </c>
      <c r="AM15" s="2076"/>
      <c r="AN15" s="2077"/>
      <c r="AO15" s="2075">
        <v>7</v>
      </c>
      <c r="AP15" s="2076"/>
      <c r="AQ15" s="2077"/>
    </row>
    <row r="16" spans="1:84" s="230" customFormat="1" ht="16.5" customHeight="1" x14ac:dyDescent="0.25">
      <c r="A16" s="2057"/>
      <c r="B16" s="2058"/>
      <c r="C16" s="2062"/>
      <c r="D16" s="2078" t="s">
        <v>14</v>
      </c>
      <c r="E16" s="2056"/>
      <c r="F16" s="2068" t="s">
        <v>81</v>
      </c>
      <c r="G16" s="2069"/>
      <c r="H16" s="2079">
        <v>124</v>
      </c>
      <c r="I16" s="2080"/>
      <c r="J16" s="2081"/>
      <c r="K16" s="2079">
        <v>124</v>
      </c>
      <c r="L16" s="2080"/>
      <c r="M16" s="2081"/>
      <c r="N16" s="2079">
        <v>124</v>
      </c>
      <c r="O16" s="2080"/>
      <c r="P16" s="2081"/>
      <c r="Q16" s="2079">
        <v>124</v>
      </c>
      <c r="R16" s="2080"/>
      <c r="S16" s="2081"/>
      <c r="T16" s="2079">
        <v>124</v>
      </c>
      <c r="U16" s="2080"/>
      <c r="V16" s="2081"/>
      <c r="W16" s="2079">
        <v>124</v>
      </c>
      <c r="X16" s="2080"/>
      <c r="Y16" s="2081"/>
      <c r="Z16" s="2079">
        <v>124</v>
      </c>
      <c r="AA16" s="2080"/>
      <c r="AB16" s="2081"/>
      <c r="AC16" s="2079">
        <v>124</v>
      </c>
      <c r="AD16" s="2080"/>
      <c r="AE16" s="2081"/>
      <c r="AF16" s="2079">
        <v>124</v>
      </c>
      <c r="AG16" s="2080"/>
      <c r="AH16" s="2081"/>
      <c r="AI16" s="2079">
        <v>124</v>
      </c>
      <c r="AJ16" s="2080"/>
      <c r="AK16" s="2081"/>
      <c r="AL16" s="2079">
        <v>124</v>
      </c>
      <c r="AM16" s="2080"/>
      <c r="AN16" s="2081"/>
      <c r="AO16" s="2079">
        <v>124</v>
      </c>
      <c r="AP16" s="2080"/>
      <c r="AQ16" s="2081"/>
    </row>
    <row r="17" spans="1:45" s="230" customFormat="1" ht="16.5" customHeight="1" thickBot="1" x14ac:dyDescent="0.3">
      <c r="A17" s="2057"/>
      <c r="B17" s="2058"/>
      <c r="C17" s="2062"/>
      <c r="D17" s="2059"/>
      <c r="E17" s="2060"/>
      <c r="F17" s="2070" t="s">
        <v>82</v>
      </c>
      <c r="G17" s="2071"/>
      <c r="H17" s="2082">
        <v>10.7</v>
      </c>
      <c r="I17" s="2083"/>
      <c r="J17" s="2084"/>
      <c r="K17" s="2082">
        <v>10.7</v>
      </c>
      <c r="L17" s="2083"/>
      <c r="M17" s="2084"/>
      <c r="N17" s="2082">
        <v>10.7</v>
      </c>
      <c r="O17" s="2083"/>
      <c r="P17" s="2084"/>
      <c r="Q17" s="2082">
        <v>10.7</v>
      </c>
      <c r="R17" s="2083"/>
      <c r="S17" s="2084"/>
      <c r="T17" s="2082">
        <v>10.7</v>
      </c>
      <c r="U17" s="2083"/>
      <c r="V17" s="2084"/>
      <c r="W17" s="2082">
        <v>10.7</v>
      </c>
      <c r="X17" s="2083"/>
      <c r="Y17" s="2084"/>
      <c r="Z17" s="2082">
        <v>10.7</v>
      </c>
      <c r="AA17" s="2083"/>
      <c r="AB17" s="2084"/>
      <c r="AC17" s="2082">
        <v>10.7</v>
      </c>
      <c r="AD17" s="2083"/>
      <c r="AE17" s="2084"/>
      <c r="AF17" s="2082">
        <v>10.7</v>
      </c>
      <c r="AG17" s="2083"/>
      <c r="AH17" s="2084"/>
      <c r="AI17" s="2082">
        <v>10.7</v>
      </c>
      <c r="AJ17" s="2083"/>
      <c r="AK17" s="2084"/>
      <c r="AL17" s="2082">
        <v>10.7</v>
      </c>
      <c r="AM17" s="2083"/>
      <c r="AN17" s="2084"/>
      <c r="AO17" s="2082">
        <v>10.7</v>
      </c>
      <c r="AP17" s="2083"/>
      <c r="AQ17" s="2084"/>
    </row>
    <row r="18" spans="1:45" s="230" customFormat="1" ht="16.5" customHeight="1" thickBot="1" x14ac:dyDescent="0.3">
      <c r="A18" s="2057"/>
      <c r="B18" s="2058"/>
      <c r="C18" s="2062"/>
      <c r="D18" s="2072" t="s">
        <v>83</v>
      </c>
      <c r="E18" s="2073"/>
      <c r="F18" s="2073"/>
      <c r="G18" s="2074"/>
      <c r="H18" s="2085" t="s">
        <v>84</v>
      </c>
      <c r="I18" s="2086"/>
      <c r="J18" s="2087"/>
      <c r="K18" s="2075" t="s">
        <v>84</v>
      </c>
      <c r="L18" s="2076"/>
      <c r="M18" s="2077"/>
      <c r="N18" s="2075" t="s">
        <v>84</v>
      </c>
      <c r="O18" s="2076"/>
      <c r="P18" s="2077"/>
      <c r="Q18" s="2075" t="s">
        <v>84</v>
      </c>
      <c r="R18" s="2076"/>
      <c r="S18" s="2077"/>
      <c r="T18" s="2075" t="s">
        <v>84</v>
      </c>
      <c r="U18" s="2076"/>
      <c r="V18" s="2077"/>
      <c r="W18" s="2075" t="s">
        <v>84</v>
      </c>
      <c r="X18" s="2076"/>
      <c r="Y18" s="2077"/>
      <c r="Z18" s="2075" t="s">
        <v>84</v>
      </c>
      <c r="AA18" s="2076"/>
      <c r="AB18" s="2077"/>
      <c r="AC18" s="2075" t="s">
        <v>84</v>
      </c>
      <c r="AD18" s="2076"/>
      <c r="AE18" s="2077"/>
      <c r="AF18" s="2075" t="s">
        <v>84</v>
      </c>
      <c r="AG18" s="2076"/>
      <c r="AH18" s="2077"/>
      <c r="AI18" s="2075" t="s">
        <v>84</v>
      </c>
      <c r="AJ18" s="2076"/>
      <c r="AK18" s="2077"/>
      <c r="AL18" s="2075" t="s">
        <v>84</v>
      </c>
      <c r="AM18" s="2076"/>
      <c r="AN18" s="2077"/>
      <c r="AO18" s="2075" t="s">
        <v>84</v>
      </c>
      <c r="AP18" s="2076"/>
      <c r="AQ18" s="2077"/>
    </row>
    <row r="19" spans="1:45" s="230" customFormat="1" ht="16.5" customHeight="1" x14ac:dyDescent="0.25">
      <c r="A19" s="2078" t="s">
        <v>86</v>
      </c>
      <c r="B19" s="2090"/>
      <c r="C19" s="2056"/>
      <c r="D19" s="2092"/>
      <c r="E19" s="2093"/>
      <c r="F19" s="2068" t="s">
        <v>81</v>
      </c>
      <c r="G19" s="2069"/>
      <c r="H19" s="246">
        <f>H7+H13</f>
        <v>0</v>
      </c>
      <c r="I19" s="247">
        <f t="shared" ref="I19:AM20" si="0">I7+I13</f>
        <v>0</v>
      </c>
      <c r="J19" s="248">
        <f t="shared" si="0"/>
        <v>0</v>
      </c>
      <c r="K19" s="246">
        <f t="shared" si="0"/>
        <v>0</v>
      </c>
      <c r="L19" s="247">
        <f t="shared" si="0"/>
        <v>0</v>
      </c>
      <c r="M19" s="248">
        <f t="shared" si="0"/>
        <v>0</v>
      </c>
      <c r="N19" s="246">
        <f t="shared" si="0"/>
        <v>0</v>
      </c>
      <c r="O19" s="247">
        <f t="shared" si="0"/>
        <v>0</v>
      </c>
      <c r="P19" s="248">
        <f t="shared" si="0"/>
        <v>0</v>
      </c>
      <c r="Q19" s="246">
        <f t="shared" si="0"/>
        <v>0</v>
      </c>
      <c r="R19" s="247">
        <f t="shared" si="0"/>
        <v>0</v>
      </c>
      <c r="S19" s="248">
        <f t="shared" si="0"/>
        <v>0</v>
      </c>
      <c r="T19" s="246">
        <f t="shared" si="0"/>
        <v>0</v>
      </c>
      <c r="U19" s="247">
        <f t="shared" si="0"/>
        <v>0</v>
      </c>
      <c r="V19" s="248">
        <f t="shared" si="0"/>
        <v>0</v>
      </c>
      <c r="W19" s="246">
        <f t="shared" si="0"/>
        <v>0</v>
      </c>
      <c r="X19" s="247">
        <f t="shared" si="0"/>
        <v>0</v>
      </c>
      <c r="Y19" s="248">
        <f t="shared" si="0"/>
        <v>0</v>
      </c>
      <c r="Z19" s="246">
        <f t="shared" si="0"/>
        <v>0</v>
      </c>
      <c r="AA19" s="247">
        <f t="shared" si="0"/>
        <v>0</v>
      </c>
      <c r="AB19" s="248">
        <f t="shared" si="0"/>
        <v>0</v>
      </c>
      <c r="AC19" s="246">
        <f t="shared" si="0"/>
        <v>0</v>
      </c>
      <c r="AD19" s="247">
        <f t="shared" si="0"/>
        <v>0</v>
      </c>
      <c r="AE19" s="248">
        <f t="shared" si="0"/>
        <v>0</v>
      </c>
      <c r="AF19" s="246">
        <f t="shared" si="0"/>
        <v>0</v>
      </c>
      <c r="AG19" s="247">
        <f t="shared" si="0"/>
        <v>0</v>
      </c>
      <c r="AH19" s="248">
        <f t="shared" si="0"/>
        <v>0</v>
      </c>
      <c r="AI19" s="246">
        <f t="shared" si="0"/>
        <v>0</v>
      </c>
      <c r="AJ19" s="247">
        <f t="shared" si="0"/>
        <v>0</v>
      </c>
      <c r="AK19" s="248">
        <f t="shared" si="0"/>
        <v>0</v>
      </c>
      <c r="AL19" s="246">
        <f t="shared" si="0"/>
        <v>0</v>
      </c>
      <c r="AM19" s="247">
        <f t="shared" si="0"/>
        <v>0</v>
      </c>
      <c r="AN19" s="248">
        <f>AN7+AN13</f>
        <v>0</v>
      </c>
      <c r="AO19" s="246">
        <f>AO7+AO13</f>
        <v>0</v>
      </c>
      <c r="AP19" s="247">
        <f>AP7+AP13</f>
        <v>0</v>
      </c>
      <c r="AQ19" s="248">
        <f>AQ7+AQ13</f>
        <v>0</v>
      </c>
    </row>
    <row r="20" spans="1:45" s="230" customFormat="1" ht="16.5" customHeight="1" thickBot="1" x14ac:dyDescent="0.3">
      <c r="A20" s="2059"/>
      <c r="B20" s="2091"/>
      <c r="C20" s="2060"/>
      <c r="D20" s="2094"/>
      <c r="E20" s="2095"/>
      <c r="F20" s="2070" t="s">
        <v>82</v>
      </c>
      <c r="G20" s="2071"/>
      <c r="H20" s="250">
        <f t="shared" ref="H20:AQ20" si="1">H8+H14</f>
        <v>181.25831434262761</v>
      </c>
      <c r="I20" s="251">
        <f>I8+I14</f>
        <v>3.2210000000000001</v>
      </c>
      <c r="J20" s="252">
        <f>J8+J14</f>
        <v>0.90699999999999992</v>
      </c>
      <c r="K20" s="250">
        <f t="shared" si="1"/>
        <v>181.15757949365724</v>
      </c>
      <c r="L20" s="251">
        <f t="shared" si="1"/>
        <v>3.2189999999999999</v>
      </c>
      <c r="M20" s="252">
        <f t="shared" si="0"/>
        <v>0.90700000000000003</v>
      </c>
      <c r="N20" s="250">
        <f t="shared" si="1"/>
        <v>178.56974260646174</v>
      </c>
      <c r="O20" s="251">
        <f t="shared" si="1"/>
        <v>3.1789999999999994</v>
      </c>
      <c r="P20" s="252">
        <f t="shared" si="0"/>
        <v>0.873</v>
      </c>
      <c r="Q20" s="250">
        <f t="shared" si="1"/>
        <v>180.34329535641822</v>
      </c>
      <c r="R20" s="251">
        <f t="shared" si="1"/>
        <v>3.21</v>
      </c>
      <c r="S20" s="252">
        <f t="shared" si="0"/>
        <v>0.88400000000000001</v>
      </c>
      <c r="T20" s="250">
        <f t="shared" si="1"/>
        <v>178.61028009308978</v>
      </c>
      <c r="U20" s="251">
        <f t="shared" si="1"/>
        <v>3.181</v>
      </c>
      <c r="V20" s="252">
        <f t="shared" si="0"/>
        <v>0.86799999999999999</v>
      </c>
      <c r="W20" s="250">
        <f t="shared" si="1"/>
        <v>186.62301159932477</v>
      </c>
      <c r="X20" s="251">
        <f t="shared" si="1"/>
        <v>3.3239999999999998</v>
      </c>
      <c r="Y20" s="252">
        <f t="shared" si="0"/>
        <v>0.90700000000000003</v>
      </c>
      <c r="Z20" s="250">
        <f t="shared" si="1"/>
        <v>193.60016739403926</v>
      </c>
      <c r="AA20" s="251">
        <f t="shared" si="1"/>
        <v>3.4529999999999994</v>
      </c>
      <c r="AB20" s="252">
        <f t="shared" si="0"/>
        <v>0.92300000000000004</v>
      </c>
      <c r="AC20" s="250">
        <f t="shared" si="1"/>
        <v>200.60591055234417</v>
      </c>
      <c r="AD20" s="251">
        <f t="shared" si="1"/>
        <v>3.5820000000000003</v>
      </c>
      <c r="AE20" s="252">
        <f t="shared" si="0"/>
        <v>0.93900000000000006</v>
      </c>
      <c r="AF20" s="250">
        <f t="shared" si="1"/>
        <v>215.68846613604194</v>
      </c>
      <c r="AG20" s="251">
        <f t="shared" si="1"/>
        <v>3.77</v>
      </c>
      <c r="AH20" s="252">
        <f t="shared" si="0"/>
        <v>1.2799999999999998</v>
      </c>
      <c r="AI20" s="250">
        <f t="shared" si="1"/>
        <v>213.87652632026521</v>
      </c>
      <c r="AJ20" s="251">
        <f t="shared" si="1"/>
        <v>3.726</v>
      </c>
      <c r="AK20" s="252">
        <f t="shared" si="0"/>
        <v>1.304</v>
      </c>
      <c r="AL20" s="250">
        <f t="shared" si="1"/>
        <v>204.70925418309892</v>
      </c>
      <c r="AM20" s="251">
        <f t="shared" si="1"/>
        <v>3.5939999999999999</v>
      </c>
      <c r="AN20" s="252">
        <f t="shared" si="1"/>
        <v>1.165</v>
      </c>
      <c r="AO20" s="250">
        <f t="shared" si="1"/>
        <v>206.40752473208582</v>
      </c>
      <c r="AP20" s="251">
        <f t="shared" si="1"/>
        <v>3.6019999999999999</v>
      </c>
      <c r="AQ20" s="252">
        <f t="shared" si="1"/>
        <v>1.2410000000000001</v>
      </c>
    </row>
    <row r="21" spans="1:45" s="230" customFormat="1" ht="16.5" customHeight="1" x14ac:dyDescent="0.25">
      <c r="A21" s="254" t="s">
        <v>87</v>
      </c>
      <c r="B21" s="255">
        <v>0</v>
      </c>
      <c r="C21" s="256"/>
      <c r="D21" s="235" t="s">
        <v>88</v>
      </c>
      <c r="E21" s="2102">
        <v>0</v>
      </c>
      <c r="F21" s="2102"/>
      <c r="G21" s="257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231"/>
      <c r="AM21" s="231"/>
      <c r="AN21" s="231"/>
      <c r="AO21" s="231"/>
      <c r="AP21" s="231"/>
      <c r="AQ21" s="257"/>
    </row>
    <row r="22" spans="1:45" s="230" customFormat="1" ht="16.5" customHeight="1" thickBot="1" x14ac:dyDescent="0.3">
      <c r="A22" s="258" t="s">
        <v>47</v>
      </c>
      <c r="B22" s="259">
        <f>(I20+L20+O20+R20+U20+X20+AA20+AD20+AG20+AJ20+AM20+AP20+I69+L69+O69+R69+U69+X69+AA69+AD69+AG69+AJ69+AM69+AP69)/SQRT((I20+L20+O20+R20+U20+X20+AA20+AD20+AG20+AJ20+AM20+AP20+I69+L69+O69+R69+U69+X69+AA69+AD69+AG69+AJ69+AM69+AP69)^2+(J20+M20+P20+S20+V20+Y20+AB20+AE20+AH20+AK20+AN20+J69+M69+P69+S69+V69+Y69+AB69+AE69+AH69+AK69+AN69+AQ69+AQ20)^2)</f>
        <v>0.95791480787697647</v>
      </c>
      <c r="C22" s="260"/>
      <c r="D22" s="261" t="s">
        <v>48</v>
      </c>
      <c r="E22" s="2103">
        <f>(J20+M20+P20+S20+V20+Y20+AB20+AE20+AH20+AK20+AN20+J69+M69+P69+S69+V69+Y69+AB69+AE69+AH69+AK69+AN69+AQ69+AQ20)/(I20+L20+O20+R20+U20+X20+AA20+AD20+AG20+AJ20+AM20+AP20+I69+L69+O69+R69+U69+X69+AA69+AD69+AG69+AJ69+AM69+AP69)</f>
        <v>0.29966406446136745</v>
      </c>
      <c r="F22" s="2103"/>
      <c r="G22" s="262"/>
      <c r="H22" s="263"/>
      <c r="I22" s="263"/>
      <c r="J22" s="263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263"/>
      <c r="AA22" s="263"/>
      <c r="AB22" s="263"/>
      <c r="AC22" s="263"/>
      <c r="AD22" s="263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2"/>
    </row>
    <row r="23" spans="1:45" s="230" customFormat="1" ht="16.5" customHeight="1" thickBot="1" x14ac:dyDescent="0.3">
      <c r="A23" s="264"/>
      <c r="B23" s="265"/>
      <c r="C23" s="265"/>
      <c r="D23" s="266"/>
      <c r="E23" s="267"/>
      <c r="F23" s="266"/>
      <c r="G23" s="267"/>
      <c r="H23" s="268"/>
      <c r="I23" s="266"/>
      <c r="J23" s="266"/>
      <c r="K23" s="269"/>
      <c r="L23" s="266"/>
      <c r="M23" s="266"/>
      <c r="N23" s="268"/>
      <c r="O23" s="266"/>
      <c r="P23" s="266"/>
      <c r="Q23" s="268"/>
      <c r="R23" s="266"/>
      <c r="S23" s="266"/>
      <c r="T23" s="268"/>
      <c r="U23" s="266"/>
      <c r="V23" s="266"/>
      <c r="W23" s="268"/>
      <c r="X23" s="266"/>
      <c r="Y23" s="266"/>
      <c r="Z23" s="268"/>
      <c r="AA23" s="266"/>
      <c r="AB23" s="266"/>
      <c r="AC23" s="268"/>
      <c r="AD23" s="266"/>
      <c r="AE23" s="266"/>
      <c r="AF23" s="268"/>
      <c r="AG23" s="266"/>
      <c r="AH23" s="266"/>
      <c r="AI23" s="268"/>
      <c r="AJ23" s="266"/>
      <c r="AK23" s="266"/>
      <c r="AL23" s="268"/>
      <c r="AM23" s="266"/>
      <c r="AN23" s="266"/>
      <c r="AO23" s="268"/>
      <c r="AP23" s="266"/>
      <c r="AQ23" s="266"/>
    </row>
    <row r="24" spans="1:45" s="230" customFormat="1" ht="16.5" customHeight="1" x14ac:dyDescent="0.25">
      <c r="A24" s="2104" t="s">
        <v>40</v>
      </c>
      <c r="B24" s="2105"/>
      <c r="C24" s="2105"/>
      <c r="D24" s="2106" t="s">
        <v>5</v>
      </c>
      <c r="E24" s="2107"/>
      <c r="F24" s="2107" t="s">
        <v>6</v>
      </c>
      <c r="G24" s="2108"/>
      <c r="H24" s="2096" t="s">
        <v>67</v>
      </c>
      <c r="I24" s="2097"/>
      <c r="J24" s="2098"/>
      <c r="K24" s="2096" t="s">
        <v>68</v>
      </c>
      <c r="L24" s="2097"/>
      <c r="M24" s="2098"/>
      <c r="N24" s="2096" t="s">
        <v>69</v>
      </c>
      <c r="O24" s="2097"/>
      <c r="P24" s="2098"/>
      <c r="Q24" s="2096" t="s">
        <v>70</v>
      </c>
      <c r="R24" s="2097"/>
      <c r="S24" s="2098"/>
      <c r="T24" s="2096" t="s">
        <v>71</v>
      </c>
      <c r="U24" s="2097"/>
      <c r="V24" s="2098"/>
      <c r="W24" s="2096" t="s">
        <v>72</v>
      </c>
      <c r="X24" s="2097"/>
      <c r="Y24" s="2098"/>
      <c r="Z24" s="2096" t="s">
        <v>73</v>
      </c>
      <c r="AA24" s="2097"/>
      <c r="AB24" s="2098"/>
      <c r="AC24" s="2096" t="s">
        <v>74</v>
      </c>
      <c r="AD24" s="2097"/>
      <c r="AE24" s="2098"/>
      <c r="AF24" s="2096" t="s">
        <v>75</v>
      </c>
      <c r="AG24" s="2097"/>
      <c r="AH24" s="2098"/>
      <c r="AI24" s="2096" t="s">
        <v>76</v>
      </c>
      <c r="AJ24" s="2097"/>
      <c r="AK24" s="2098"/>
      <c r="AL24" s="2096" t="s">
        <v>77</v>
      </c>
      <c r="AM24" s="2097"/>
      <c r="AN24" s="2098"/>
      <c r="AO24" s="2096" t="s">
        <v>78</v>
      </c>
      <c r="AP24" s="2097"/>
      <c r="AQ24" s="2098"/>
    </row>
    <row r="25" spans="1:45" s="230" customFormat="1" ht="16.5" customHeight="1" thickBot="1" x14ac:dyDescent="0.3">
      <c r="A25" s="2109" t="s">
        <v>89</v>
      </c>
      <c r="B25" s="2110"/>
      <c r="C25" s="2110"/>
      <c r="D25" s="270" t="s">
        <v>7</v>
      </c>
      <c r="E25" s="271" t="s">
        <v>8</v>
      </c>
      <c r="F25" s="272" t="s">
        <v>7</v>
      </c>
      <c r="G25" s="273" t="s">
        <v>8</v>
      </c>
      <c r="H25" s="2099"/>
      <c r="I25" s="2100"/>
      <c r="J25" s="2101"/>
      <c r="K25" s="2099"/>
      <c r="L25" s="2100"/>
      <c r="M25" s="2101"/>
      <c r="N25" s="2099"/>
      <c r="O25" s="2100"/>
      <c r="P25" s="2101"/>
      <c r="Q25" s="2099"/>
      <c r="R25" s="2100"/>
      <c r="S25" s="2101"/>
      <c r="T25" s="2099"/>
      <c r="U25" s="2100"/>
      <c r="V25" s="2101"/>
      <c r="W25" s="2099"/>
      <c r="X25" s="2100"/>
      <c r="Y25" s="2101"/>
      <c r="Z25" s="2099"/>
      <c r="AA25" s="2100"/>
      <c r="AB25" s="2101"/>
      <c r="AC25" s="2099"/>
      <c r="AD25" s="2100"/>
      <c r="AE25" s="2101"/>
      <c r="AF25" s="2099"/>
      <c r="AG25" s="2100"/>
      <c r="AH25" s="2101"/>
      <c r="AI25" s="2099"/>
      <c r="AJ25" s="2100"/>
      <c r="AK25" s="2101"/>
      <c r="AL25" s="2099"/>
      <c r="AM25" s="2100"/>
      <c r="AN25" s="2101"/>
      <c r="AO25" s="2099"/>
      <c r="AP25" s="2100"/>
      <c r="AQ25" s="2101"/>
    </row>
    <row r="26" spans="1:45" s="230" customFormat="1" ht="16.5" customHeight="1" x14ac:dyDescent="0.25">
      <c r="A26" s="274" t="s">
        <v>90</v>
      </c>
      <c r="B26" s="275" t="s">
        <v>91</v>
      </c>
      <c r="C26" s="276"/>
      <c r="D26" s="277"/>
      <c r="E26" s="278"/>
      <c r="F26" s="279"/>
      <c r="G26" s="280"/>
      <c r="H26" s="281">
        <f>SQRT(I26^2+J26^2)*1000/(1.73*$H$11)</f>
        <v>46.54658746756833</v>
      </c>
      <c r="I26" s="282">
        <v>0.82199999999999995</v>
      </c>
      <c r="J26" s="283">
        <v>0.23</v>
      </c>
      <c r="K26" s="281">
        <f>SQRT(L26^2+M26^2)*1000/(1.73*$H$11)</f>
        <v>46.905807955405685</v>
      </c>
      <c r="L26" s="282">
        <v>0.82799999999999996</v>
      </c>
      <c r="M26" s="283">
        <v>0.23300000000000001</v>
      </c>
      <c r="N26" s="281">
        <f>SQRT(O26^2+P26^2)*1000/(1.73*$H$11)</f>
        <v>45.823430135370295</v>
      </c>
      <c r="O26" s="282">
        <v>0.81100000000000005</v>
      </c>
      <c r="P26" s="283">
        <v>0.22</v>
      </c>
      <c r="Q26" s="281">
        <f>SQRT(R26^2+S26^2)*1000/(1.73*$H$11)</f>
        <v>45.560338510516907</v>
      </c>
      <c r="R26" s="282">
        <v>0.80600000000000005</v>
      </c>
      <c r="S26" s="283">
        <v>0.22</v>
      </c>
      <c r="T26" s="281">
        <f>SQRT(U26^2+V26^2)*1000/(1.73*$H$11)</f>
        <v>46.31143466317684</v>
      </c>
      <c r="U26" s="282">
        <v>0.82</v>
      </c>
      <c r="V26" s="283">
        <v>0.221</v>
      </c>
      <c r="W26" s="281">
        <f>SQRT(X26^2+Y26^2)*1000/(1.73*$H$11)</f>
        <v>46.880537400884933</v>
      </c>
      <c r="X26" s="282">
        <v>0.83</v>
      </c>
      <c r="Y26" s="283">
        <v>0.224</v>
      </c>
      <c r="Z26" s="281">
        <f>SQRT(AA26^2+AB26^2)*1000/(1.73*$H$11)</f>
        <v>49.758051583643905</v>
      </c>
      <c r="AA26" s="282">
        <v>0.88300000000000001</v>
      </c>
      <c r="AB26" s="283">
        <v>0.23</v>
      </c>
      <c r="AC26" s="281">
        <f>SQRT(AD26^2+AE26^2)*1000/(1.73*$H$11)</f>
        <v>53.445977892255797</v>
      </c>
      <c r="AD26" s="282">
        <v>0.95</v>
      </c>
      <c r="AE26" s="283">
        <v>0.24099999999999999</v>
      </c>
      <c r="AF26" s="281">
        <f>SQRT(AG26^2+AH26^2)*1000/(1.73*$H$11)</f>
        <v>53.222424901434181</v>
      </c>
      <c r="AG26" s="282">
        <v>0.94099999999999995</v>
      </c>
      <c r="AH26" s="283">
        <v>0.25900000000000001</v>
      </c>
      <c r="AI26" s="281">
        <f>SQRT(AJ26^2+AK26^2)*1000/(1.73*$H$11)</f>
        <v>50.582730646781961</v>
      </c>
      <c r="AJ26" s="282">
        <v>0.89600000000000002</v>
      </c>
      <c r="AK26" s="283">
        <v>0.24</v>
      </c>
      <c r="AL26" s="281">
        <f>SQRT(AM26^2+AN26^2)*1000/(1.73*$H$11)</f>
        <v>50.291150780043665</v>
      </c>
      <c r="AM26" s="282">
        <v>0.89100000000000001</v>
      </c>
      <c r="AN26" s="283">
        <v>0.23799999999999999</v>
      </c>
      <c r="AO26" s="281">
        <f>SQRT(AP26^2+AQ26^2)*1000/(1.73*$H$11)</f>
        <v>51.370942242286731</v>
      </c>
      <c r="AP26" s="282">
        <v>0.91200000000000003</v>
      </c>
      <c r="AQ26" s="283">
        <v>0.23599999999999999</v>
      </c>
      <c r="AR26" s="284"/>
      <c r="AS26" s="284"/>
    </row>
    <row r="27" spans="1:45" s="230" customFormat="1" ht="16.5" customHeight="1" x14ac:dyDescent="0.25">
      <c r="A27" s="285" t="s">
        <v>92</v>
      </c>
      <c r="B27" s="286" t="s">
        <v>93</v>
      </c>
      <c r="C27" s="287"/>
      <c r="D27" s="288"/>
      <c r="E27" s="289"/>
      <c r="F27" s="290"/>
      <c r="G27" s="291"/>
      <c r="H27" s="292">
        <f>SQRT(I27^2+J27^2)*1000/(1.73*$H$11)</f>
        <v>5.2082649069794824</v>
      </c>
      <c r="I27" s="293">
        <v>9.0999999999999998E-2</v>
      </c>
      <c r="J27" s="294">
        <v>2.9000000000000001E-2</v>
      </c>
      <c r="K27" s="292">
        <f>SQRT(L27^2+M27^2)*1000/(1.73*$H$11)</f>
        <v>5.1733193262652071</v>
      </c>
      <c r="L27" s="293">
        <v>0.09</v>
      </c>
      <c r="M27" s="294">
        <v>0.03</v>
      </c>
      <c r="N27" s="292">
        <f>SQRT(O27^2+P27^2)*1000/(1.73*$H$11)</f>
        <v>5.1239371022028006</v>
      </c>
      <c r="O27" s="293">
        <v>0.09</v>
      </c>
      <c r="P27" s="294">
        <v>2.7E-2</v>
      </c>
      <c r="Q27" s="292">
        <f>SQRT(R27^2+S27^2)*1000/(1.73*$H$11)</f>
        <v>5.2082649069794824</v>
      </c>
      <c r="R27" s="293">
        <v>9.0999999999999998E-2</v>
      </c>
      <c r="S27" s="294">
        <v>2.9000000000000001E-2</v>
      </c>
      <c r="T27" s="292">
        <f>SQRT(U27^2+V27^2)*1000/(1.73*$H$11)</f>
        <v>5.1239371022028006</v>
      </c>
      <c r="U27" s="293">
        <v>0.09</v>
      </c>
      <c r="V27" s="294">
        <v>2.7E-2</v>
      </c>
      <c r="W27" s="292">
        <f>SQRT(X27^2+Y27^2)*1000/(1.73*$H$11)</f>
        <v>5.1563344530494488</v>
      </c>
      <c r="X27" s="293">
        <v>0.09</v>
      </c>
      <c r="Y27" s="294">
        <v>2.9000000000000001E-2</v>
      </c>
      <c r="Z27" s="292">
        <f>SQRT(AA27^2+AB27^2)*1000/(1.73*$H$11)</f>
        <v>5.1239371022028006</v>
      </c>
      <c r="AA27" s="293">
        <v>0.09</v>
      </c>
      <c r="AB27" s="294">
        <v>2.7E-2</v>
      </c>
      <c r="AC27" s="292">
        <f>SQRT(AD27^2+AE27^2)*1000/(1.73*$H$11)</f>
        <v>5.8458254044093776</v>
      </c>
      <c r="AD27" s="293">
        <v>0.104</v>
      </c>
      <c r="AE27" s="294">
        <v>2.5999999999999999E-2</v>
      </c>
      <c r="AF27" s="292">
        <f>SQRT(AG27^2+AH27^2)*1000/(1.73*$H$11)</f>
        <v>11.139000008624439</v>
      </c>
      <c r="AG27" s="293">
        <v>0.17399999999999999</v>
      </c>
      <c r="AH27" s="294">
        <v>0.107</v>
      </c>
      <c r="AI27" s="292">
        <f>SQRT(AJ27^2+AK27^2)*1000/(1.73*$H$11)</f>
        <v>15.585158131222746</v>
      </c>
      <c r="AJ27" s="293">
        <v>0.22900000000000001</v>
      </c>
      <c r="AK27" s="294">
        <v>0.17100000000000001</v>
      </c>
      <c r="AL27" s="292">
        <f>SQRT(AM27^2+AN27^2)*1000/(1.73*$H$11)</f>
        <v>12.902336301186915</v>
      </c>
      <c r="AM27" s="293">
        <v>0.19</v>
      </c>
      <c r="AN27" s="294">
        <v>0.14099999999999999</v>
      </c>
      <c r="AO27" s="292">
        <f>SQRT(AP27^2+AQ27^2)*1000/(1.73*$H$11)</f>
        <v>12.804241123776361</v>
      </c>
      <c r="AP27" s="293">
        <v>0.187</v>
      </c>
      <c r="AQ27" s="294">
        <v>0.14199999999999999</v>
      </c>
      <c r="AR27" s="284"/>
      <c r="AS27" s="284"/>
    </row>
    <row r="28" spans="1:45" s="230" customFormat="1" ht="16.5" customHeight="1" x14ac:dyDescent="0.25">
      <c r="A28" s="285" t="s">
        <v>94</v>
      </c>
      <c r="B28" s="286" t="s">
        <v>95</v>
      </c>
      <c r="C28" s="287"/>
      <c r="D28" s="288"/>
      <c r="E28" s="289"/>
      <c r="F28" s="290"/>
      <c r="G28" s="291"/>
      <c r="H28" s="292">
        <f>SQRT(I28^2+J28^2)*1000/(1.73*$H$17)</f>
        <v>23.5091634406681</v>
      </c>
      <c r="I28" s="293">
        <v>0.39800000000000002</v>
      </c>
      <c r="J28" s="294">
        <v>0.17599999999999999</v>
      </c>
      <c r="K28" s="292">
        <f>SQRT(L28^2+M28^2)*1000/(1.73*$H$17)</f>
        <v>22.296927013607654</v>
      </c>
      <c r="L28" s="293">
        <v>0.377</v>
      </c>
      <c r="M28" s="294">
        <v>0.16800000000000001</v>
      </c>
      <c r="N28" s="292">
        <f>SQRT(O28^2+P28^2)*1000/(1.73*$H$17)</f>
        <v>22.096027196505279</v>
      </c>
      <c r="O28" s="293">
        <v>0.376</v>
      </c>
      <c r="P28" s="294">
        <v>0.161</v>
      </c>
      <c r="Q28" s="292">
        <f>SQRT(R28^2+S28^2)*1000/(1.73*$H$17)</f>
        <v>23.330283487498207</v>
      </c>
      <c r="R28" s="293">
        <v>0.39700000000000002</v>
      </c>
      <c r="S28" s="294">
        <v>0.17</v>
      </c>
      <c r="T28" s="292">
        <f>SQRT(U28^2+V28^2)*1000/(1.73*$H$17)</f>
        <v>20.558167052995227</v>
      </c>
      <c r="U28" s="293">
        <v>0.34799999999999998</v>
      </c>
      <c r="V28" s="294">
        <v>0.154</v>
      </c>
      <c r="W28" s="292">
        <f>SQRT(X28^2+Y28^2)*1000/(1.73*$H$17)</f>
        <v>23.578825515702068</v>
      </c>
      <c r="X28" s="293">
        <v>0.40200000000000002</v>
      </c>
      <c r="Y28" s="294">
        <v>0.17</v>
      </c>
      <c r="Z28" s="292">
        <f>SQRT(AA28^2+AB28^2)*1000/(1.73*$H$17)</f>
        <v>22.798279775278694</v>
      </c>
      <c r="AA28" s="293">
        <v>0.38800000000000001</v>
      </c>
      <c r="AB28" s="294">
        <v>0.16600000000000001</v>
      </c>
      <c r="AC28" s="292">
        <f>SQRT(AD28^2+AE28^2)*1000/(1.73*$H$17)</f>
        <v>21.622274427302145</v>
      </c>
      <c r="AD28" s="293">
        <v>0.36599999999999999</v>
      </c>
      <c r="AE28" s="294">
        <v>0.16200000000000001</v>
      </c>
      <c r="AF28" s="292">
        <f>SQRT(AG28^2+AH28^2)*1000/(1.73*$H$17)</f>
        <v>35.331046232659205</v>
      </c>
      <c r="AG28" s="293">
        <v>0.503</v>
      </c>
      <c r="AH28" s="294">
        <v>0.41799999999999998</v>
      </c>
      <c r="AI28" s="292">
        <f>SQRT(AJ28^2+AK28^2)*1000/(1.73*$H$17)</f>
        <v>34.390763024459218</v>
      </c>
      <c r="AJ28" s="293">
        <v>0.48699999999999999</v>
      </c>
      <c r="AK28" s="294">
        <v>0.41</v>
      </c>
      <c r="AL28" s="292">
        <f>SQRT(AM28^2+AN28^2)*1000/(1.73*$H$17)</f>
        <v>27.770636542566812</v>
      </c>
      <c r="AM28" s="293">
        <v>0.41599999999999998</v>
      </c>
      <c r="AN28" s="294">
        <v>0.30199999999999999</v>
      </c>
      <c r="AO28" s="292">
        <f>SQRT(AP28^2+AQ28^2)*1000/(1.73*$H$17)</f>
        <v>33.401329059075515</v>
      </c>
      <c r="AP28" s="293">
        <v>0.47399999999999998</v>
      </c>
      <c r="AQ28" s="294">
        <v>0.39700000000000002</v>
      </c>
      <c r="AR28" s="284"/>
      <c r="AS28" s="284"/>
    </row>
    <row r="29" spans="1:45" s="230" customFormat="1" ht="17.25" customHeight="1" x14ac:dyDescent="0.25">
      <c r="A29" s="285" t="s">
        <v>96</v>
      </c>
      <c r="B29" s="286" t="s">
        <v>97</v>
      </c>
      <c r="C29" s="287"/>
      <c r="D29" s="288"/>
      <c r="E29" s="289"/>
      <c r="F29" s="290"/>
      <c r="G29" s="291"/>
      <c r="H29" s="292">
        <f>SQRT(I29^2+J29^2)*1000/(1.73*$H$17)</f>
        <v>105.23722114873115</v>
      </c>
      <c r="I29" s="293">
        <v>1.89</v>
      </c>
      <c r="J29" s="294">
        <v>0.47199999999999998</v>
      </c>
      <c r="K29" s="292">
        <f>SQRT(L29^2+M29^2)*1000/(1.73*$H$17)</f>
        <v>105.91853777740698</v>
      </c>
      <c r="L29" s="293">
        <v>1.9019999999999999</v>
      </c>
      <c r="M29" s="294">
        <v>0.47599999999999998</v>
      </c>
      <c r="N29" s="292">
        <f>SQRT(O29^2+P29^2)*1000/(1.73*$H$17)</f>
        <v>104.72662708818521</v>
      </c>
      <c r="O29" s="293">
        <v>1.8819999999999999</v>
      </c>
      <c r="P29" s="294">
        <v>0.46500000000000002</v>
      </c>
      <c r="Q29" s="292">
        <f>SQRT(R29^2+S29^2)*1000/(1.73*$H$17)</f>
        <v>105.35607988167337</v>
      </c>
      <c r="R29" s="293">
        <v>1.8939999999999999</v>
      </c>
      <c r="S29" s="294">
        <v>0.46500000000000002</v>
      </c>
      <c r="T29" s="292">
        <f>SQRT(U29^2+V29^2)*1000/(1.73*$H$17)</f>
        <v>105.84115457444129</v>
      </c>
      <c r="U29" s="293">
        <v>1.903</v>
      </c>
      <c r="V29" s="294">
        <v>0.46600000000000003</v>
      </c>
      <c r="W29" s="292">
        <f>SQRT(X29^2+Y29^2)*1000/(1.73*$H$17)</f>
        <v>110.2177182183227</v>
      </c>
      <c r="X29" s="293">
        <v>1.982</v>
      </c>
      <c r="Y29" s="294">
        <v>0.48399999999999999</v>
      </c>
      <c r="Z29" s="292">
        <f>SQRT(AA29^2+AB29^2)*1000/(1.73*$H$17)</f>
        <v>115.46149058204759</v>
      </c>
      <c r="AA29" s="293">
        <v>2.0779999999999998</v>
      </c>
      <c r="AB29" s="294">
        <v>0.5</v>
      </c>
      <c r="AC29" s="292">
        <f>SQRT(AD29^2+AE29^2)*1000/(1.73*$H$17)</f>
        <v>118.68692425809706</v>
      </c>
      <c r="AD29" s="293">
        <v>2.137</v>
      </c>
      <c r="AE29" s="294">
        <v>0.51</v>
      </c>
      <c r="AF29" s="292">
        <f>SQRT(AG29^2+AH29^2)*1000/(1.73*$H$17)</f>
        <v>117.88225736471937</v>
      </c>
      <c r="AG29" s="293">
        <v>2.125</v>
      </c>
      <c r="AH29" s="294">
        <v>0.496</v>
      </c>
      <c r="AI29" s="292">
        <f>SQRT(AJ29^2+AK29^2)*1000/(1.73*$H$17)</f>
        <v>115.72373140333536</v>
      </c>
      <c r="AJ29" s="293">
        <v>2.0870000000000002</v>
      </c>
      <c r="AK29" s="294">
        <v>0.48299999999999998</v>
      </c>
      <c r="AL29" s="292">
        <f>SQRT(AM29^2+AN29^2)*1000/(1.73*$H$17)</f>
        <v>115.26234858875688</v>
      </c>
      <c r="AM29" s="293">
        <v>2.0779999999999998</v>
      </c>
      <c r="AN29" s="294">
        <v>0.48399999999999999</v>
      </c>
      <c r="AO29" s="292">
        <f>SQRT(AP29^2+AQ29^2)*1000/(1.73*$H$17)</f>
        <v>111.14836449662322</v>
      </c>
      <c r="AP29" s="293">
        <v>2.004</v>
      </c>
      <c r="AQ29" s="294">
        <v>0.46600000000000003</v>
      </c>
      <c r="AR29" s="284"/>
      <c r="AS29" s="284"/>
    </row>
    <row r="30" spans="1:45" s="230" customFormat="1" ht="16.5" customHeight="1" thickBot="1" x14ac:dyDescent="0.3">
      <c r="A30" s="295" t="s">
        <v>98</v>
      </c>
      <c r="B30" s="296" t="s">
        <v>99</v>
      </c>
      <c r="C30" s="297"/>
      <c r="D30" s="298"/>
      <c r="E30" s="299"/>
      <c r="F30" s="300"/>
      <c r="G30" s="301"/>
      <c r="H30" s="302">
        <f>SQRT(I30^2+J30^2)*1000/(1.73*$H$17)</f>
        <v>0.75630706066663067</v>
      </c>
      <c r="I30" s="303">
        <v>1.4E-2</v>
      </c>
      <c r="J30" s="304">
        <v>0</v>
      </c>
      <c r="K30" s="302">
        <f>SQRT(L30^2+M30^2)*1000/(1.73*$H$17)</f>
        <v>0.86435092647614931</v>
      </c>
      <c r="L30" s="303">
        <v>1.6E-2</v>
      </c>
      <c r="M30" s="304">
        <v>0</v>
      </c>
      <c r="N30" s="302">
        <f>SQRT(O30^2+P30^2)*1000/(1.73*$H$17)</f>
        <v>0.75630706066663067</v>
      </c>
      <c r="O30" s="303">
        <v>1.4E-2</v>
      </c>
      <c r="P30" s="304">
        <v>0</v>
      </c>
      <c r="Q30" s="302">
        <f>SQRT(R30^2+S30^2)*1000/(1.73*$H$17)</f>
        <v>0.86435092647614931</v>
      </c>
      <c r="R30" s="303">
        <v>1.6E-2</v>
      </c>
      <c r="S30" s="304">
        <v>0</v>
      </c>
      <c r="T30" s="302">
        <f>SQRT(U30^2+V30^2)*1000/(1.73*$H$17)</f>
        <v>0.75630706066663067</v>
      </c>
      <c r="U30" s="303">
        <v>1.4E-2</v>
      </c>
      <c r="V30" s="304">
        <v>0</v>
      </c>
      <c r="W30" s="302">
        <f>SQRT(X30^2+Y30^2)*1000/(1.73*$H$17)</f>
        <v>0.75630706066663067</v>
      </c>
      <c r="X30" s="303">
        <v>1.4E-2</v>
      </c>
      <c r="Y30" s="304">
        <v>0</v>
      </c>
      <c r="Z30" s="302">
        <f>SQRT(AA30^2+AB30^2)*1000/(1.73*$H$17)</f>
        <v>0.75630706066663067</v>
      </c>
      <c r="AA30" s="303">
        <v>1.4E-2</v>
      </c>
      <c r="AB30" s="304">
        <v>0</v>
      </c>
      <c r="AC30" s="302">
        <f>SQRT(AD30^2+AE30^2)*1000/(1.73*$H$17)</f>
        <v>1.0264167251904273</v>
      </c>
      <c r="AD30" s="303">
        <v>1.9E-2</v>
      </c>
      <c r="AE30" s="304">
        <v>0</v>
      </c>
      <c r="AF30" s="302">
        <f>SQRT(AG30^2+AH30^2)*1000/(1.73*$H$17)</f>
        <v>1.1344605909999461</v>
      </c>
      <c r="AG30" s="303">
        <v>2.1000000000000001E-2</v>
      </c>
      <c r="AH30" s="304">
        <v>0</v>
      </c>
      <c r="AI30" s="302">
        <f>SQRT(AJ30^2+AK30^2)*1000/(1.73*$H$17)</f>
        <v>1.1344605909999461</v>
      </c>
      <c r="AJ30" s="303">
        <v>2.1000000000000001E-2</v>
      </c>
      <c r="AK30" s="304">
        <v>0</v>
      </c>
      <c r="AL30" s="302">
        <f>SQRT(AM30^2+AN30^2)*1000/(1.73*$H$17)</f>
        <v>1.0264167251904273</v>
      </c>
      <c r="AM30" s="303">
        <v>1.9E-2</v>
      </c>
      <c r="AN30" s="304">
        <v>0</v>
      </c>
      <c r="AO30" s="302">
        <f>SQRT(AP30^2+AQ30^2)*1000/(1.73*$H$17)</f>
        <v>1.0264167251904273</v>
      </c>
      <c r="AP30" s="303">
        <v>1.9E-2</v>
      </c>
      <c r="AQ30" s="304">
        <v>0</v>
      </c>
      <c r="AR30" s="284"/>
      <c r="AS30" s="284"/>
    </row>
    <row r="31" spans="1:45" s="230" customFormat="1" ht="16.5" customHeight="1" x14ac:dyDescent="0.25">
      <c r="A31" s="305"/>
      <c r="B31" s="306" t="s">
        <v>100</v>
      </c>
      <c r="C31" s="307"/>
      <c r="D31" s="308"/>
      <c r="E31" s="309"/>
      <c r="F31" s="310"/>
      <c r="G31" s="311"/>
      <c r="H31" s="281"/>
      <c r="I31" s="282">
        <v>6.0000000000000001E-3</v>
      </c>
      <c r="J31" s="283">
        <v>0</v>
      </c>
      <c r="K31" s="281"/>
      <c r="L31" s="282">
        <v>6.0000000000000001E-3</v>
      </c>
      <c r="M31" s="283"/>
      <c r="N31" s="281"/>
      <c r="O31" s="282">
        <v>0</v>
      </c>
      <c r="P31" s="283"/>
      <c r="Q31" s="281"/>
      <c r="R31" s="282">
        <v>6.0000000000000001E-3</v>
      </c>
      <c r="S31" s="283"/>
      <c r="T31" s="281"/>
      <c r="U31" s="282">
        <v>6.0000000000000001E-3</v>
      </c>
      <c r="V31" s="283"/>
      <c r="W31" s="281"/>
      <c r="X31" s="282">
        <v>6.0000000000000001E-3</v>
      </c>
      <c r="Y31" s="283"/>
      <c r="Z31" s="281"/>
      <c r="AA31" s="282">
        <v>0</v>
      </c>
      <c r="AB31" s="283"/>
      <c r="AC31" s="281"/>
      <c r="AD31" s="282">
        <v>6.0000000000000001E-3</v>
      </c>
      <c r="AE31" s="283"/>
      <c r="AF31" s="281"/>
      <c r="AG31" s="282">
        <v>6.0000000000000001E-3</v>
      </c>
      <c r="AH31" s="283"/>
      <c r="AI31" s="281"/>
      <c r="AJ31" s="282">
        <v>6.0000000000000001E-3</v>
      </c>
      <c r="AK31" s="283"/>
      <c r="AL31" s="281"/>
      <c r="AM31" s="282"/>
      <c r="AN31" s="283"/>
      <c r="AO31" s="281"/>
      <c r="AP31" s="282">
        <v>6.0000000000000001E-3</v>
      </c>
      <c r="AQ31" s="283"/>
    </row>
    <row r="32" spans="1:45" s="230" customFormat="1" ht="16.5" customHeight="1" thickBot="1" x14ac:dyDescent="0.3">
      <c r="A32" s="312"/>
      <c r="B32" s="313" t="s">
        <v>101</v>
      </c>
      <c r="C32" s="314"/>
      <c r="D32" s="315"/>
      <c r="E32" s="316"/>
      <c r="F32" s="317"/>
      <c r="G32" s="318"/>
      <c r="H32" s="319"/>
      <c r="I32" s="320">
        <v>0</v>
      </c>
      <c r="J32" s="321"/>
      <c r="K32" s="319"/>
      <c r="L32" s="320">
        <v>0</v>
      </c>
      <c r="M32" s="321"/>
      <c r="N32" s="319"/>
      <c r="O32" s="320">
        <v>6.0000000000000001E-3</v>
      </c>
      <c r="P32" s="321"/>
      <c r="Q32" s="319"/>
      <c r="R32" s="320">
        <v>0</v>
      </c>
      <c r="S32" s="321"/>
      <c r="T32" s="319"/>
      <c r="U32" s="320"/>
      <c r="V32" s="321"/>
      <c r="W32" s="319"/>
      <c r="X32" s="320">
        <v>0</v>
      </c>
      <c r="Y32" s="321"/>
      <c r="Z32" s="319"/>
      <c r="AA32" s="320">
        <v>0</v>
      </c>
      <c r="AB32" s="321"/>
      <c r="AC32" s="319"/>
      <c r="AD32" s="320"/>
      <c r="AE32" s="321"/>
      <c r="AF32" s="319"/>
      <c r="AG32" s="320">
        <v>0</v>
      </c>
      <c r="AH32" s="321"/>
      <c r="AI32" s="319"/>
      <c r="AJ32" s="320">
        <v>0</v>
      </c>
      <c r="AK32" s="321"/>
      <c r="AL32" s="319"/>
      <c r="AM32" s="320"/>
      <c r="AN32" s="321"/>
      <c r="AO32" s="319"/>
      <c r="AP32" s="320">
        <v>0</v>
      </c>
      <c r="AQ32" s="321"/>
      <c r="AR32" s="322"/>
      <c r="AS32" s="322"/>
    </row>
    <row r="33" spans="1:81" s="230" customFormat="1" ht="16.5" customHeight="1" x14ac:dyDescent="0.25">
      <c r="A33" s="2113" t="s">
        <v>102</v>
      </c>
      <c r="B33" s="2114"/>
      <c r="C33" s="2114"/>
      <c r="D33" s="2114"/>
      <c r="E33" s="2114"/>
      <c r="F33" s="2114"/>
      <c r="G33" s="2115"/>
      <c r="H33" s="281">
        <f t="shared" ref="H33:AQ33" si="2">H26+H27</f>
        <v>51.754852374547809</v>
      </c>
      <c r="I33" s="282">
        <f>I26+I27</f>
        <v>0.91299999999999992</v>
      </c>
      <c r="J33" s="283">
        <f>J26+J27</f>
        <v>0.25900000000000001</v>
      </c>
      <c r="K33" s="281">
        <f t="shared" si="2"/>
        <v>52.079127281670893</v>
      </c>
      <c r="L33" s="282">
        <f t="shared" si="2"/>
        <v>0.91799999999999993</v>
      </c>
      <c r="M33" s="283">
        <f t="shared" si="2"/>
        <v>0.26300000000000001</v>
      </c>
      <c r="N33" s="281">
        <f t="shared" si="2"/>
        <v>50.947367237573097</v>
      </c>
      <c r="O33" s="282">
        <f t="shared" si="2"/>
        <v>0.90100000000000002</v>
      </c>
      <c r="P33" s="283">
        <f t="shared" si="2"/>
        <v>0.247</v>
      </c>
      <c r="Q33" s="281">
        <f t="shared" si="2"/>
        <v>50.768603417496386</v>
      </c>
      <c r="R33" s="282">
        <f t="shared" si="2"/>
        <v>0.89700000000000002</v>
      </c>
      <c r="S33" s="283">
        <f t="shared" si="2"/>
        <v>0.249</v>
      </c>
      <c r="T33" s="281">
        <f t="shared" si="2"/>
        <v>51.435371765379642</v>
      </c>
      <c r="U33" s="282">
        <f t="shared" si="2"/>
        <v>0.90999999999999992</v>
      </c>
      <c r="V33" s="283">
        <f t="shared" si="2"/>
        <v>0.248</v>
      </c>
      <c r="W33" s="281">
        <f t="shared" si="2"/>
        <v>52.036871853934379</v>
      </c>
      <c r="X33" s="282">
        <f t="shared" si="2"/>
        <v>0.91999999999999993</v>
      </c>
      <c r="Y33" s="283">
        <f t="shared" si="2"/>
        <v>0.253</v>
      </c>
      <c r="Z33" s="281">
        <f t="shared" si="2"/>
        <v>54.881988685846707</v>
      </c>
      <c r="AA33" s="282">
        <f t="shared" si="2"/>
        <v>0.97299999999999998</v>
      </c>
      <c r="AB33" s="283">
        <f t="shared" si="2"/>
        <v>0.25700000000000001</v>
      </c>
      <c r="AC33" s="281">
        <f t="shared" si="2"/>
        <v>59.291803296665172</v>
      </c>
      <c r="AD33" s="282">
        <f t="shared" si="2"/>
        <v>1.054</v>
      </c>
      <c r="AE33" s="283">
        <f t="shared" si="2"/>
        <v>0.26700000000000002</v>
      </c>
      <c r="AF33" s="281">
        <f t="shared" si="2"/>
        <v>64.361424910058616</v>
      </c>
      <c r="AG33" s="282">
        <f t="shared" si="2"/>
        <v>1.115</v>
      </c>
      <c r="AH33" s="283">
        <f t="shared" si="2"/>
        <v>0.36599999999999999</v>
      </c>
      <c r="AI33" s="281">
        <f t="shared" si="2"/>
        <v>66.167888778004709</v>
      </c>
      <c r="AJ33" s="282">
        <f t="shared" si="2"/>
        <v>1.125</v>
      </c>
      <c r="AK33" s="283">
        <f t="shared" si="2"/>
        <v>0.41100000000000003</v>
      </c>
      <c r="AL33" s="281">
        <f t="shared" si="2"/>
        <v>63.193487081230579</v>
      </c>
      <c r="AM33" s="282">
        <f t="shared" si="2"/>
        <v>1.081</v>
      </c>
      <c r="AN33" s="283">
        <f t="shared" si="2"/>
        <v>0.379</v>
      </c>
      <c r="AO33" s="281">
        <f t="shared" si="2"/>
        <v>64.175183366063095</v>
      </c>
      <c r="AP33" s="282">
        <f t="shared" si="2"/>
        <v>1.099</v>
      </c>
      <c r="AQ33" s="283">
        <f t="shared" si="2"/>
        <v>0.378</v>
      </c>
      <c r="AR33" s="249"/>
      <c r="AS33" s="249"/>
    </row>
    <row r="34" spans="1:81" s="230" customFormat="1" ht="16.5" customHeight="1" thickBot="1" x14ac:dyDescent="0.3">
      <c r="A34" s="2116" t="s">
        <v>103</v>
      </c>
      <c r="B34" s="2117"/>
      <c r="C34" s="2117"/>
      <c r="D34" s="2117"/>
      <c r="E34" s="2117"/>
      <c r="F34" s="2117"/>
      <c r="G34" s="2118"/>
      <c r="H34" s="302">
        <f t="shared" ref="H34:AQ34" si="3">H30+H29+H28</f>
        <v>129.50269165006588</v>
      </c>
      <c r="I34" s="303">
        <f>I30+I29+I28</f>
        <v>2.302</v>
      </c>
      <c r="J34" s="304">
        <f>J30+J29+J28</f>
        <v>0.64799999999999991</v>
      </c>
      <c r="K34" s="302">
        <f t="shared" si="3"/>
        <v>129.07981571749079</v>
      </c>
      <c r="L34" s="303">
        <f t="shared" si="3"/>
        <v>2.2949999999999999</v>
      </c>
      <c r="M34" s="304">
        <f t="shared" si="3"/>
        <v>0.64400000000000002</v>
      </c>
      <c r="N34" s="302">
        <f t="shared" si="3"/>
        <v>127.57896134535711</v>
      </c>
      <c r="O34" s="303">
        <f t="shared" si="3"/>
        <v>2.2719999999999998</v>
      </c>
      <c r="P34" s="304">
        <f t="shared" si="3"/>
        <v>0.626</v>
      </c>
      <c r="Q34" s="302">
        <f t="shared" si="3"/>
        <v>129.55071429564771</v>
      </c>
      <c r="R34" s="303">
        <f t="shared" si="3"/>
        <v>2.3069999999999999</v>
      </c>
      <c r="S34" s="304">
        <f t="shared" si="3"/>
        <v>0.63500000000000001</v>
      </c>
      <c r="T34" s="302">
        <f t="shared" si="3"/>
        <v>127.15562868810315</v>
      </c>
      <c r="U34" s="303">
        <f t="shared" si="3"/>
        <v>2.2650000000000001</v>
      </c>
      <c r="V34" s="304">
        <f t="shared" si="3"/>
        <v>0.62</v>
      </c>
      <c r="W34" s="302">
        <f t="shared" si="3"/>
        <v>134.55285079469141</v>
      </c>
      <c r="X34" s="303">
        <f t="shared" si="3"/>
        <v>2.3980000000000001</v>
      </c>
      <c r="Y34" s="304">
        <f t="shared" si="3"/>
        <v>0.65400000000000003</v>
      </c>
      <c r="Z34" s="302">
        <f t="shared" si="3"/>
        <v>139.0160774179929</v>
      </c>
      <c r="AA34" s="303">
        <f t="shared" si="3"/>
        <v>2.4799999999999995</v>
      </c>
      <c r="AB34" s="304">
        <f t="shared" si="3"/>
        <v>0.66600000000000004</v>
      </c>
      <c r="AC34" s="302">
        <f t="shared" si="3"/>
        <v>141.33561541058964</v>
      </c>
      <c r="AD34" s="303">
        <f t="shared" si="3"/>
        <v>2.5220000000000002</v>
      </c>
      <c r="AE34" s="304">
        <f t="shared" si="3"/>
        <v>0.67200000000000004</v>
      </c>
      <c r="AF34" s="302">
        <f t="shared" si="3"/>
        <v>154.34776418837851</v>
      </c>
      <c r="AG34" s="303">
        <f t="shared" si="3"/>
        <v>2.649</v>
      </c>
      <c r="AH34" s="304">
        <f t="shared" si="3"/>
        <v>0.91399999999999992</v>
      </c>
      <c r="AI34" s="302">
        <f t="shared" si="3"/>
        <v>151.24895501879453</v>
      </c>
      <c r="AJ34" s="303">
        <f t="shared" si="3"/>
        <v>2.5950000000000002</v>
      </c>
      <c r="AK34" s="304">
        <f t="shared" si="3"/>
        <v>0.89300000000000002</v>
      </c>
      <c r="AL34" s="302">
        <f t="shared" si="3"/>
        <v>144.05940185651411</v>
      </c>
      <c r="AM34" s="303">
        <f t="shared" si="3"/>
        <v>2.5129999999999999</v>
      </c>
      <c r="AN34" s="304">
        <f t="shared" si="3"/>
        <v>0.78600000000000003</v>
      </c>
      <c r="AO34" s="302">
        <f t="shared" si="3"/>
        <v>145.57611028088917</v>
      </c>
      <c r="AP34" s="303">
        <f t="shared" si="3"/>
        <v>2.4969999999999999</v>
      </c>
      <c r="AQ34" s="304">
        <f t="shared" si="3"/>
        <v>0.86299999999999999</v>
      </c>
      <c r="AR34" s="249"/>
      <c r="AS34" s="249"/>
    </row>
    <row r="35" spans="1:81" s="230" customFormat="1" ht="16.5" customHeight="1" thickBot="1" x14ac:dyDescent="0.3">
      <c r="A35" s="2119" t="s">
        <v>104</v>
      </c>
      <c r="B35" s="2120"/>
      <c r="C35" s="2120"/>
      <c r="D35" s="2120"/>
      <c r="E35" s="2120"/>
      <c r="F35" s="2120"/>
      <c r="G35" s="2120"/>
      <c r="H35" s="323">
        <f>H33+H34</f>
        <v>181.25754402461371</v>
      </c>
      <c r="I35" s="320">
        <f>I33+I34</f>
        <v>3.2149999999999999</v>
      </c>
      <c r="J35" s="321">
        <f>J33+J34</f>
        <v>0.90699999999999992</v>
      </c>
      <c r="K35" s="323">
        <f t="shared" ref="K35:AQ35" si="4">K33+K34</f>
        <v>181.1589429991617</v>
      </c>
      <c r="L35" s="320">
        <f t="shared" si="4"/>
        <v>3.2130000000000001</v>
      </c>
      <c r="M35" s="321">
        <f t="shared" si="4"/>
        <v>0.90700000000000003</v>
      </c>
      <c r="N35" s="323">
        <f t="shared" si="4"/>
        <v>178.5263285829302</v>
      </c>
      <c r="O35" s="320">
        <f t="shared" si="4"/>
        <v>3.173</v>
      </c>
      <c r="P35" s="321">
        <f t="shared" si="4"/>
        <v>0.873</v>
      </c>
      <c r="Q35" s="323">
        <f t="shared" si="4"/>
        <v>180.3193177131441</v>
      </c>
      <c r="R35" s="320">
        <f t="shared" si="4"/>
        <v>3.2039999999999997</v>
      </c>
      <c r="S35" s="321">
        <f t="shared" si="4"/>
        <v>0.88400000000000001</v>
      </c>
      <c r="T35" s="323">
        <f t="shared" si="4"/>
        <v>178.59100045348279</v>
      </c>
      <c r="U35" s="320">
        <f t="shared" si="4"/>
        <v>3.1749999999999998</v>
      </c>
      <c r="V35" s="321">
        <f t="shared" si="4"/>
        <v>0.86799999999999999</v>
      </c>
      <c r="W35" s="323">
        <f t="shared" si="4"/>
        <v>186.58972264862578</v>
      </c>
      <c r="X35" s="320">
        <f t="shared" si="4"/>
        <v>3.3180000000000001</v>
      </c>
      <c r="Y35" s="321">
        <f t="shared" si="4"/>
        <v>0.90700000000000003</v>
      </c>
      <c r="Z35" s="323">
        <f t="shared" si="4"/>
        <v>193.8980661038396</v>
      </c>
      <c r="AA35" s="320">
        <f t="shared" si="4"/>
        <v>3.4529999999999994</v>
      </c>
      <c r="AB35" s="321">
        <f t="shared" si="4"/>
        <v>0.92300000000000004</v>
      </c>
      <c r="AC35" s="323">
        <f t="shared" si="4"/>
        <v>200.6274187072548</v>
      </c>
      <c r="AD35" s="320">
        <f t="shared" si="4"/>
        <v>3.5760000000000005</v>
      </c>
      <c r="AE35" s="321">
        <f t="shared" si="4"/>
        <v>0.93900000000000006</v>
      </c>
      <c r="AF35" s="323">
        <f t="shared" si="4"/>
        <v>218.70918909843712</v>
      </c>
      <c r="AG35" s="320">
        <f t="shared" si="4"/>
        <v>3.7640000000000002</v>
      </c>
      <c r="AH35" s="321">
        <f t="shared" si="4"/>
        <v>1.2799999999999998</v>
      </c>
      <c r="AI35" s="323">
        <f t="shared" si="4"/>
        <v>217.41684379679924</v>
      </c>
      <c r="AJ35" s="320">
        <f t="shared" si="4"/>
        <v>3.72</v>
      </c>
      <c r="AK35" s="321">
        <f t="shared" si="4"/>
        <v>1.304</v>
      </c>
      <c r="AL35" s="323">
        <f t="shared" si="4"/>
        <v>207.2528889377447</v>
      </c>
      <c r="AM35" s="320">
        <f t="shared" si="4"/>
        <v>3.5939999999999999</v>
      </c>
      <c r="AN35" s="321">
        <f t="shared" si="4"/>
        <v>1.165</v>
      </c>
      <c r="AO35" s="323">
        <f t="shared" si="4"/>
        <v>209.75129364695226</v>
      </c>
      <c r="AP35" s="320">
        <f t="shared" si="4"/>
        <v>3.5960000000000001</v>
      </c>
      <c r="AQ35" s="321">
        <f t="shared" si="4"/>
        <v>1.2410000000000001</v>
      </c>
      <c r="AR35" s="249"/>
      <c r="AS35" s="249"/>
      <c r="CB35" s="249"/>
      <c r="CC35" s="249"/>
    </row>
    <row r="36" spans="1:81" s="230" customFormat="1" ht="16.5" customHeight="1" x14ac:dyDescent="0.25">
      <c r="A36" s="324"/>
      <c r="B36" s="231"/>
      <c r="C36" s="264"/>
      <c r="D36" s="266"/>
      <c r="E36" s="267"/>
      <c r="F36" s="266"/>
      <c r="G36" s="267"/>
      <c r="H36" s="268"/>
      <c r="I36" s="266"/>
      <c r="K36" s="268"/>
      <c r="L36" s="266"/>
      <c r="M36" s="266"/>
      <c r="N36" s="268"/>
      <c r="O36" s="266"/>
      <c r="P36" s="266"/>
      <c r="Q36" s="268"/>
      <c r="R36" s="266"/>
      <c r="S36" s="266"/>
      <c r="T36" s="268"/>
      <c r="U36" s="266"/>
      <c r="V36" s="266"/>
      <c r="W36" s="268"/>
      <c r="X36" s="266"/>
      <c r="Y36" s="266"/>
      <c r="Z36" s="268"/>
      <c r="AA36" s="266"/>
      <c r="AB36" s="266"/>
      <c r="AC36" s="268"/>
      <c r="AD36" s="266"/>
      <c r="AE36" s="266"/>
      <c r="AF36" s="268"/>
      <c r="AG36" s="266"/>
      <c r="AH36" s="266"/>
      <c r="AI36" s="268"/>
      <c r="AJ36" s="266"/>
      <c r="AK36" s="266"/>
      <c r="AL36" s="268"/>
      <c r="AM36" s="266"/>
      <c r="AN36" s="266"/>
      <c r="AO36" s="268"/>
      <c r="AP36" s="266"/>
      <c r="AQ36" s="266"/>
    </row>
    <row r="37" spans="1:81" s="230" customFormat="1" ht="16.5" customHeight="1" thickBot="1" x14ac:dyDescent="0.3">
      <c r="A37" s="325" t="s">
        <v>19</v>
      </c>
      <c r="B37" s="231"/>
      <c r="C37" s="231"/>
      <c r="D37" s="231"/>
      <c r="E37" s="231"/>
      <c r="F37" s="231"/>
      <c r="G37" s="231"/>
      <c r="H37" s="326"/>
      <c r="I37" s="327"/>
      <c r="J37" s="266"/>
      <c r="K37" s="328"/>
      <c r="L37" s="328"/>
      <c r="M37" s="328"/>
      <c r="N37" s="328"/>
      <c r="O37" s="328"/>
      <c r="P37" s="328"/>
      <c r="Q37" s="328"/>
      <c r="R37" s="328"/>
      <c r="S37" s="328"/>
      <c r="T37" s="328"/>
      <c r="U37" s="328"/>
      <c r="V37" s="328"/>
      <c r="W37" s="328"/>
      <c r="X37" s="328"/>
      <c r="Y37" s="328"/>
      <c r="Z37" s="328"/>
      <c r="AA37" s="328"/>
      <c r="AB37" s="328"/>
      <c r="AC37" s="328"/>
      <c r="AD37" s="328"/>
      <c r="AE37" s="328"/>
      <c r="AF37" s="328"/>
      <c r="AG37" s="328"/>
      <c r="AH37" s="328"/>
      <c r="AI37" s="328"/>
      <c r="AJ37" s="328"/>
      <c r="AK37" s="328"/>
      <c r="AL37" s="328"/>
      <c r="AM37" s="328"/>
      <c r="AN37" s="328"/>
      <c r="AO37" s="328"/>
      <c r="AP37" s="328"/>
      <c r="AQ37" s="328"/>
    </row>
    <row r="38" spans="1:81" s="230" customFormat="1" ht="16.5" customHeight="1" x14ac:dyDescent="0.25">
      <c r="A38" s="2061" t="s">
        <v>0</v>
      </c>
      <c r="B38" s="329" t="s">
        <v>22</v>
      </c>
      <c r="C38" s="330"/>
      <c r="D38" s="330" t="s">
        <v>45</v>
      </c>
      <c r="E38" s="330"/>
      <c r="F38" s="330"/>
      <c r="G38" s="331"/>
      <c r="H38" s="332">
        <f>$C$40/1000</f>
        <v>2.7E-2</v>
      </c>
      <c r="I38" s="333" t="s">
        <v>2</v>
      </c>
      <c r="J38" s="334">
        <f>$G$40/1000</f>
        <v>0.17299999999999999</v>
      </c>
      <c r="K38" s="332">
        <f>$C$40/1000</f>
        <v>2.7E-2</v>
      </c>
      <c r="L38" s="333" t="s">
        <v>2</v>
      </c>
      <c r="M38" s="334">
        <f>$G$40/1000</f>
        <v>0.17299999999999999</v>
      </c>
      <c r="N38" s="332">
        <f>$C$40/1000</f>
        <v>2.7E-2</v>
      </c>
      <c r="O38" s="333" t="s">
        <v>2</v>
      </c>
      <c r="P38" s="334">
        <f>$G$40/1000</f>
        <v>0.17299999999999999</v>
      </c>
      <c r="Q38" s="332">
        <f>$C$40/1000</f>
        <v>2.7E-2</v>
      </c>
      <c r="R38" s="333" t="s">
        <v>2</v>
      </c>
      <c r="S38" s="334">
        <f>$G$40/1000</f>
        <v>0.17299999999999999</v>
      </c>
      <c r="T38" s="332">
        <f>$C$40/1000</f>
        <v>2.7E-2</v>
      </c>
      <c r="U38" s="333" t="s">
        <v>2</v>
      </c>
      <c r="V38" s="334">
        <f>$G$40/1000</f>
        <v>0.17299999999999999</v>
      </c>
      <c r="W38" s="332">
        <f>$C$40/1000</f>
        <v>2.7E-2</v>
      </c>
      <c r="X38" s="333" t="s">
        <v>2</v>
      </c>
      <c r="Y38" s="334">
        <f>$G$40/1000</f>
        <v>0.17299999999999999</v>
      </c>
      <c r="Z38" s="332">
        <f>$C$40/1000</f>
        <v>2.7E-2</v>
      </c>
      <c r="AA38" s="333" t="s">
        <v>2</v>
      </c>
      <c r="AB38" s="334">
        <f>$G$40/1000</f>
        <v>0.17299999999999999</v>
      </c>
      <c r="AC38" s="332">
        <f>$C$40/1000</f>
        <v>2.7E-2</v>
      </c>
      <c r="AD38" s="333" t="s">
        <v>2</v>
      </c>
      <c r="AE38" s="334">
        <f>$G$40/1000</f>
        <v>0.17299999999999999</v>
      </c>
      <c r="AF38" s="332">
        <f>$C$40/1000</f>
        <v>2.7E-2</v>
      </c>
      <c r="AG38" s="333" t="s">
        <v>2</v>
      </c>
      <c r="AH38" s="334">
        <f>$G$40/1000</f>
        <v>0.17299999999999999</v>
      </c>
      <c r="AI38" s="332">
        <f>$C$40/1000</f>
        <v>2.7E-2</v>
      </c>
      <c r="AJ38" s="333" t="s">
        <v>2</v>
      </c>
      <c r="AK38" s="334">
        <f>$G$40/1000</f>
        <v>0.17299999999999999</v>
      </c>
      <c r="AL38" s="332">
        <f>$C$40/1000</f>
        <v>2.7E-2</v>
      </c>
      <c r="AM38" s="333" t="s">
        <v>2</v>
      </c>
      <c r="AN38" s="334">
        <f>$G$40/1000</f>
        <v>0.17299999999999999</v>
      </c>
      <c r="AO38" s="332">
        <f>$C$40/1000</f>
        <v>2.7E-2</v>
      </c>
      <c r="AP38" s="333" t="s">
        <v>2</v>
      </c>
      <c r="AQ38" s="334">
        <f>$G$40/1000</f>
        <v>0.17299999999999999</v>
      </c>
      <c r="AR38" s="284"/>
    </row>
    <row r="39" spans="1:81" s="230" customFormat="1" ht="16.5" customHeight="1" thickBot="1" x14ac:dyDescent="0.3">
      <c r="A39" s="2062"/>
      <c r="B39" s="335" t="s">
        <v>23</v>
      </c>
      <c r="C39" s="336"/>
      <c r="D39" s="336" t="s">
        <v>24</v>
      </c>
      <c r="E39" s="336"/>
      <c r="F39" s="336"/>
      <c r="G39" s="337"/>
      <c r="H39" s="338">
        <f>((I8^2+J8^2)*$G$41/1000)/($C$7*$C$7)</f>
        <v>1.7503526399999996E-4</v>
      </c>
      <c r="I39" s="339" t="s">
        <v>2</v>
      </c>
      <c r="J39" s="340">
        <f>((I8^2+J8^2)*$J$41)/(100*$C$7)</f>
        <v>3.8288963999999993E-3</v>
      </c>
      <c r="K39" s="338">
        <f>((L8^2+M8^2)*$G$41/1000)/($C$7*$C$7)</f>
        <v>1.7720543999999997E-4</v>
      </c>
      <c r="L39" s="339" t="s">
        <v>2</v>
      </c>
      <c r="M39" s="340">
        <f>((L8^2+M8^2)*$J$41)/(100*$C$7)</f>
        <v>3.8763689999999997E-3</v>
      </c>
      <c r="N39" s="338">
        <f>((O8^2+P8^2)*$G$41/1000)/($C$7*$C$7)</f>
        <v>1.6757952000000001E-4</v>
      </c>
      <c r="O39" s="339" t="s">
        <v>2</v>
      </c>
      <c r="P39" s="340">
        <f>((O8^2+P8^2)*$J$41)/(100*$C$7)</f>
        <v>3.6658020000000001E-3</v>
      </c>
      <c r="Q39" s="338">
        <f>((R8^2+S8^2)*$G$41/1000)/($C$7*$C$7)</f>
        <v>1.6846272000000002E-4</v>
      </c>
      <c r="R39" s="339" t="s">
        <v>2</v>
      </c>
      <c r="S39" s="340">
        <f>((R8^2+S8^2)*$J$41)/(100*$C$7)</f>
        <v>3.6851219999999999E-3</v>
      </c>
      <c r="T39" s="338">
        <f>((U8^2+V8^2)*$G$41/1000)/($C$7*$C$7)</f>
        <v>1.7290751999999999E-4</v>
      </c>
      <c r="U39" s="339" t="s">
        <v>2</v>
      </c>
      <c r="V39" s="340">
        <f>((U8^2+V8^2)*$J$41)/(100*$C$7)</f>
        <v>3.7823519999999997E-3</v>
      </c>
      <c r="W39" s="338">
        <f>((X8^2+Y8^2)*$G$41/1000)/($C$7*$C$7)</f>
        <v>1.7692511999999999E-4</v>
      </c>
      <c r="X39" s="339" t="s">
        <v>2</v>
      </c>
      <c r="Y39" s="340">
        <f>((X8^2+Y8^2)*$J$41)/(100*$C$7)</f>
        <v>3.8702369999999995E-3</v>
      </c>
      <c r="Z39" s="338">
        <f>((AA8^2+AB8^2)*$G$41/1000)/($C$7*$C$7)</f>
        <v>1.9445337599999999E-4</v>
      </c>
      <c r="AA39" s="339" t="s">
        <v>2</v>
      </c>
      <c r="AB39" s="340">
        <f>((AA8^2+AB8^2)*$J$41)/(100*$C$7)</f>
        <v>4.2536676000000002E-3</v>
      </c>
      <c r="AC39" s="338">
        <f>((AD8^2+AE8^2)*$G$41/1000)/($C$7*$C$7)</f>
        <v>2.2941868800000002E-4</v>
      </c>
      <c r="AD39" s="339" t="s">
        <v>2</v>
      </c>
      <c r="AE39" s="340">
        <f>((AD8^2+AE8^2)*$J$41)/(100*$C$7)</f>
        <v>5.0185337999999998E-3</v>
      </c>
      <c r="AF39" s="338">
        <f>((AG8^2+AH8^2)*$G$41/1000)/($C$7*$C$7)</f>
        <v>2.66994624E-4</v>
      </c>
      <c r="AG39" s="339" t="s">
        <v>2</v>
      </c>
      <c r="AH39" s="340">
        <f>((AG8^2+AH8^2)*$J$41)/(100*$C$7)</f>
        <v>5.8405073999999993E-3</v>
      </c>
      <c r="AI39" s="338">
        <f>((AJ8^2+AK8^2)*$G$41/1000)/($C$7*$C$7)</f>
        <v>2.7803174399999999E-4</v>
      </c>
      <c r="AJ39" s="339" t="s">
        <v>2</v>
      </c>
      <c r="AK39" s="340">
        <f>((AJ8^2+AK8^2)*$J$41)/(100*$C$7)</f>
        <v>6.0819444000000007E-3</v>
      </c>
      <c r="AL39" s="338">
        <f>((AM8^2+AN8^2)*$G$41/1000)/($C$7*$C$7)</f>
        <v>2.5194278399999997E-4</v>
      </c>
      <c r="AM39" s="339" t="s">
        <v>2</v>
      </c>
      <c r="AN39" s="340">
        <f>((AM8^2+AN8^2)*$J$41)/(100*$C$7)</f>
        <v>5.5112483999999991E-3</v>
      </c>
      <c r="AO39" s="338">
        <f>((AP8^2+AQ8^2)*$G$41/1000)/($C$7*$C$7)</f>
        <v>2.6187052799999999E-4</v>
      </c>
      <c r="AP39" s="339" t="s">
        <v>2</v>
      </c>
      <c r="AQ39" s="340">
        <f>((AP8^2+AQ8^2)*$J$41)/(100*$C$7)</f>
        <v>5.7284178000000007E-3</v>
      </c>
      <c r="AR39" s="284"/>
    </row>
    <row r="40" spans="1:81" s="230" customFormat="1" ht="16.5" customHeight="1" x14ac:dyDescent="0.25">
      <c r="A40" s="2062"/>
      <c r="B40" s="341" t="s">
        <v>105</v>
      </c>
      <c r="C40" s="342">
        <v>27</v>
      </c>
      <c r="D40" s="343"/>
      <c r="E40" s="2121" t="s">
        <v>106</v>
      </c>
      <c r="F40" s="2121"/>
      <c r="G40" s="344">
        <v>173</v>
      </c>
      <c r="H40" s="345"/>
      <c r="I40" s="346"/>
      <c r="J40" s="347"/>
      <c r="K40" s="2092"/>
      <c r="L40" s="2111"/>
      <c r="M40" s="2093"/>
      <c r="N40" s="2092"/>
      <c r="O40" s="2111"/>
      <c r="P40" s="2093"/>
      <c r="Q40" s="2092"/>
      <c r="R40" s="2111"/>
      <c r="S40" s="2093"/>
      <c r="T40" s="2092"/>
      <c r="U40" s="2111"/>
      <c r="V40" s="2093"/>
      <c r="W40" s="2092"/>
      <c r="X40" s="2111"/>
      <c r="Y40" s="2093"/>
      <c r="Z40" s="2092"/>
      <c r="AA40" s="2111"/>
      <c r="AB40" s="2093"/>
      <c r="AC40" s="2092"/>
      <c r="AD40" s="2111"/>
      <c r="AE40" s="2093"/>
      <c r="AF40" s="2092"/>
      <c r="AG40" s="2111"/>
      <c r="AH40" s="2093"/>
      <c r="AI40" s="2092"/>
      <c r="AJ40" s="2111"/>
      <c r="AK40" s="2093"/>
      <c r="AL40" s="2092"/>
      <c r="AM40" s="2111"/>
      <c r="AN40" s="2093"/>
      <c r="AO40" s="2092"/>
      <c r="AP40" s="2111"/>
      <c r="AQ40" s="2093"/>
    </row>
    <row r="41" spans="1:81" s="230" customFormat="1" ht="16.5" customHeight="1" thickBot="1" x14ac:dyDescent="0.3">
      <c r="A41" s="2062"/>
      <c r="B41" s="258"/>
      <c r="C41" s="261"/>
      <c r="D41" s="263"/>
      <c r="E41" s="348"/>
      <c r="F41" s="348" t="s">
        <v>57</v>
      </c>
      <c r="G41" s="349">
        <v>120</v>
      </c>
      <c r="H41" s="2122" t="s">
        <v>56</v>
      </c>
      <c r="I41" s="2123"/>
      <c r="J41" s="351">
        <v>10.5</v>
      </c>
      <c r="K41" s="2094"/>
      <c r="L41" s="2112"/>
      <c r="M41" s="2095"/>
      <c r="N41" s="2094"/>
      <c r="O41" s="2112"/>
      <c r="P41" s="2095"/>
      <c r="Q41" s="2094"/>
      <c r="R41" s="2112"/>
      <c r="S41" s="2095"/>
      <c r="T41" s="2094"/>
      <c r="U41" s="2112"/>
      <c r="V41" s="2095"/>
      <c r="W41" s="2094"/>
      <c r="X41" s="2112"/>
      <c r="Y41" s="2095"/>
      <c r="Z41" s="2094"/>
      <c r="AA41" s="2112"/>
      <c r="AB41" s="2095"/>
      <c r="AC41" s="2094"/>
      <c r="AD41" s="2112"/>
      <c r="AE41" s="2095"/>
      <c r="AF41" s="2094"/>
      <c r="AG41" s="2112"/>
      <c r="AH41" s="2095"/>
      <c r="AI41" s="2094"/>
      <c r="AJ41" s="2112"/>
      <c r="AK41" s="2095"/>
      <c r="AL41" s="2094"/>
      <c r="AM41" s="2112"/>
      <c r="AN41" s="2095"/>
      <c r="AO41" s="2094"/>
      <c r="AP41" s="2112"/>
      <c r="AQ41" s="2095"/>
    </row>
    <row r="42" spans="1:81" s="230" customFormat="1" ht="16.5" customHeight="1" thickBot="1" x14ac:dyDescent="0.3">
      <c r="A42" s="2063"/>
      <c r="B42" s="2124" t="s">
        <v>29</v>
      </c>
      <c r="C42" s="2125"/>
      <c r="D42" s="2125"/>
      <c r="E42" s="2125"/>
      <c r="F42" s="2125"/>
      <c r="G42" s="2126"/>
      <c r="H42" s="352">
        <f>I8+H38+H39</f>
        <v>0.94617503526399993</v>
      </c>
      <c r="I42" s="353" t="s">
        <v>2</v>
      </c>
      <c r="J42" s="354">
        <f>J8+J38+J39</f>
        <v>0.4358288964</v>
      </c>
      <c r="K42" s="352">
        <f>L8+K38+K39</f>
        <v>0.95117720543999995</v>
      </c>
      <c r="L42" s="353" t="s">
        <v>2</v>
      </c>
      <c r="M42" s="354">
        <f>M8+M38+M39</f>
        <v>0.43987636899999999</v>
      </c>
      <c r="N42" s="352">
        <f>O8+N38+N39</f>
        <v>0.92816757952000006</v>
      </c>
      <c r="O42" s="353" t="s">
        <v>2</v>
      </c>
      <c r="P42" s="354">
        <f>P8+P38+P39</f>
        <v>0.42366580199999998</v>
      </c>
      <c r="Q42" s="352">
        <f>R8+Q38+Q39</f>
        <v>0.93016846272000009</v>
      </c>
      <c r="R42" s="353" t="s">
        <v>2</v>
      </c>
      <c r="S42" s="354">
        <f>S8+S38+S39</f>
        <v>0.42568512199999997</v>
      </c>
      <c r="T42" s="352">
        <f>U8+T38+T39</f>
        <v>0.94317290751999994</v>
      </c>
      <c r="U42" s="353" t="s">
        <v>2</v>
      </c>
      <c r="V42" s="354">
        <f>V8+V38+V39</f>
        <v>0.42478235199999997</v>
      </c>
      <c r="W42" s="352">
        <f>X8+W38+W39</f>
        <v>0.95317692511999996</v>
      </c>
      <c r="X42" s="353" t="s">
        <v>2</v>
      </c>
      <c r="Y42" s="354">
        <f>Y8+Y38+Y39</f>
        <v>0.42987023699999999</v>
      </c>
      <c r="Z42" s="352">
        <f>AA8+Z38+Z39</f>
        <v>1.0001944533760001</v>
      </c>
      <c r="AA42" s="353" t="s">
        <v>2</v>
      </c>
      <c r="AB42" s="354">
        <f>AB8+AB38+AB39</f>
        <v>0.4342536676</v>
      </c>
      <c r="AC42" s="352">
        <f>AD8+AC38+AC39</f>
        <v>1.087229418688</v>
      </c>
      <c r="AD42" s="353" t="s">
        <v>2</v>
      </c>
      <c r="AE42" s="354">
        <f>AE8+AE38+AE39</f>
        <v>0.4450185338</v>
      </c>
      <c r="AF42" s="352">
        <f>AG8+AF38+AF39</f>
        <v>1.1482669946239998</v>
      </c>
      <c r="AG42" s="353" t="s">
        <v>2</v>
      </c>
      <c r="AH42" s="354">
        <f>AH8+AH38+AH39</f>
        <v>0.5448405073999999</v>
      </c>
      <c r="AI42" s="352">
        <f>AJ8+AI38+AI39</f>
        <v>1.158278031744</v>
      </c>
      <c r="AJ42" s="353" t="s">
        <v>2</v>
      </c>
      <c r="AK42" s="354">
        <f>AK8+AK38+AK39</f>
        <v>0.59008194440000006</v>
      </c>
      <c r="AL42" s="352">
        <f>AM8+AL38+AL39</f>
        <v>1.1082519427839999</v>
      </c>
      <c r="AM42" s="353" t="s">
        <v>2</v>
      </c>
      <c r="AN42" s="354">
        <f>AN8+AN38+AN39</f>
        <v>0.55751124839999999</v>
      </c>
      <c r="AO42" s="352">
        <f>AP8+AO38+AO39</f>
        <v>1.1322618705279999</v>
      </c>
      <c r="AP42" s="353" t="s">
        <v>2</v>
      </c>
      <c r="AQ42" s="354">
        <f>AQ8+AQ38+AQ39</f>
        <v>0.55672841779999993</v>
      </c>
    </row>
    <row r="43" spans="1:81" s="230" customFormat="1" ht="16.5" customHeight="1" x14ac:dyDescent="0.25">
      <c r="A43" s="2061" t="s">
        <v>1</v>
      </c>
      <c r="B43" s="329" t="s">
        <v>22</v>
      </c>
      <c r="C43" s="330"/>
      <c r="D43" s="330" t="s">
        <v>45</v>
      </c>
      <c r="E43" s="330"/>
      <c r="F43" s="330"/>
      <c r="G43" s="330"/>
      <c r="H43" s="332">
        <f>$C$45/1000</f>
        <v>2.7E-2</v>
      </c>
      <c r="I43" s="333" t="s">
        <v>2</v>
      </c>
      <c r="J43" s="334">
        <f>$G$45/1000</f>
        <v>0.17299999999999999</v>
      </c>
      <c r="K43" s="332">
        <f>$C$45/1000</f>
        <v>2.7E-2</v>
      </c>
      <c r="L43" s="333" t="s">
        <v>2</v>
      </c>
      <c r="M43" s="334">
        <f>$G$45/1000</f>
        <v>0.17299999999999999</v>
      </c>
      <c r="N43" s="332">
        <f>$C$45/1000</f>
        <v>2.7E-2</v>
      </c>
      <c r="O43" s="333" t="s">
        <v>2</v>
      </c>
      <c r="P43" s="334">
        <f>$G$45/1000</f>
        <v>0.17299999999999999</v>
      </c>
      <c r="Q43" s="332">
        <f>$C$45/1000</f>
        <v>2.7E-2</v>
      </c>
      <c r="R43" s="333" t="s">
        <v>2</v>
      </c>
      <c r="S43" s="334">
        <f>$G$45/1000</f>
        <v>0.17299999999999999</v>
      </c>
      <c r="T43" s="332">
        <f>$C$45/1000</f>
        <v>2.7E-2</v>
      </c>
      <c r="U43" s="333" t="s">
        <v>2</v>
      </c>
      <c r="V43" s="334">
        <f>$G$45/1000</f>
        <v>0.17299999999999999</v>
      </c>
      <c r="W43" s="332">
        <f>$C$45/1000</f>
        <v>2.7E-2</v>
      </c>
      <c r="X43" s="333" t="s">
        <v>2</v>
      </c>
      <c r="Y43" s="334">
        <f>$G$45/1000</f>
        <v>0.17299999999999999</v>
      </c>
      <c r="Z43" s="332">
        <f>$C$45/1000</f>
        <v>2.7E-2</v>
      </c>
      <c r="AA43" s="333" t="s">
        <v>2</v>
      </c>
      <c r="AB43" s="334">
        <f>$G$45/1000</f>
        <v>0.17299999999999999</v>
      </c>
      <c r="AC43" s="332">
        <f>$C$45/1000</f>
        <v>2.7E-2</v>
      </c>
      <c r="AD43" s="333" t="s">
        <v>2</v>
      </c>
      <c r="AE43" s="334">
        <f>$G$45/1000</f>
        <v>0.17299999999999999</v>
      </c>
      <c r="AF43" s="332">
        <f>$C$45/1000</f>
        <v>2.7E-2</v>
      </c>
      <c r="AG43" s="333" t="s">
        <v>2</v>
      </c>
      <c r="AH43" s="334">
        <f>$G$45/1000</f>
        <v>0.17299999999999999</v>
      </c>
      <c r="AI43" s="332">
        <f>$C$45/1000</f>
        <v>2.7E-2</v>
      </c>
      <c r="AJ43" s="333" t="s">
        <v>2</v>
      </c>
      <c r="AK43" s="334">
        <f>$G$45/1000</f>
        <v>0.17299999999999999</v>
      </c>
      <c r="AL43" s="332">
        <f>$C$45/1000</f>
        <v>2.7E-2</v>
      </c>
      <c r="AM43" s="333" t="s">
        <v>2</v>
      </c>
      <c r="AN43" s="334">
        <f>$G$45/1000</f>
        <v>0.17299999999999999</v>
      </c>
      <c r="AO43" s="332">
        <f>$C$45/1000</f>
        <v>2.7E-2</v>
      </c>
      <c r="AP43" s="333" t="s">
        <v>2</v>
      </c>
      <c r="AQ43" s="334">
        <f>$G$45/1000</f>
        <v>0.17299999999999999</v>
      </c>
      <c r="AR43" s="284"/>
    </row>
    <row r="44" spans="1:81" s="230" customFormat="1" ht="16.5" customHeight="1" thickBot="1" x14ac:dyDescent="0.3">
      <c r="A44" s="2062"/>
      <c r="B44" s="335" t="s">
        <v>23</v>
      </c>
      <c r="C44" s="336"/>
      <c r="D44" s="336" t="s">
        <v>24</v>
      </c>
      <c r="E44" s="336"/>
      <c r="F44" s="336"/>
      <c r="G44" s="355"/>
      <c r="H44" s="338">
        <f>((I14^2+J14^2)*$G$46/1000)/($C$13*$C$7)</f>
        <v>1.0980687359999999E-3</v>
      </c>
      <c r="I44" s="339" t="s">
        <v>2</v>
      </c>
      <c r="J44" s="340">
        <f>((I14^2+J14^2)*$J$46)/(100*$C$13)</f>
        <v>2.4020253599999999E-2</v>
      </c>
      <c r="K44" s="338">
        <f>((L14^2+M14^2)*$G$46/1000)/($C$13*$C$7)</f>
        <v>1.0908981120000001E-3</v>
      </c>
      <c r="L44" s="339" t="s">
        <v>2</v>
      </c>
      <c r="M44" s="340">
        <f>((L14^2+M14^2)*$J$46)/(100*$C$13)</f>
        <v>2.3863396200000001E-2</v>
      </c>
      <c r="N44" s="338">
        <f>((O14^2+P14^2)*$G$46/1000)/($C$13*$C$7)</f>
        <v>1.0715827199999997E-3</v>
      </c>
      <c r="O44" s="339" t="s">
        <v>2</v>
      </c>
      <c r="P44" s="340">
        <f>((O14^2+P14^2)*$J$46)/(100*$C$13)</f>
        <v>2.3440871999999991E-2</v>
      </c>
      <c r="Q44" s="338">
        <f>((R14^2+S14^2)*$G$46/1000)/($C$13*$C$7)</f>
        <v>1.0992910079999998E-3</v>
      </c>
      <c r="R44" s="339" t="s">
        <v>2</v>
      </c>
      <c r="S44" s="340">
        <f>((R14^2+S14^2)*$J$46)/(100*$C$13)</f>
        <v>2.4046990799999998E-2</v>
      </c>
      <c r="T44" s="338">
        <f>((U14^2+V14^2)*$G$46/1000)/($C$13*$C$7)</f>
        <v>1.0588080000000001E-3</v>
      </c>
      <c r="U44" s="339" t="s">
        <v>2</v>
      </c>
      <c r="V44" s="340">
        <f>((U14^2+V14^2)*$J$46)/(100*$C$13)</f>
        <v>2.3161425000000003E-2</v>
      </c>
      <c r="W44" s="338">
        <f>((X14^2+Y14^2)*$G$46/1000)/($C$13*$C$7)</f>
        <v>1.18619904E-3</v>
      </c>
      <c r="X44" s="339" t="s">
        <v>2</v>
      </c>
      <c r="Y44" s="340">
        <f>((X14^2+Y14^2)*$J$46)/(100*$C$13)</f>
        <v>2.5948104E-2</v>
      </c>
      <c r="Z44" s="338">
        <f>((AA14^2+AB14^2)*$G$46/1000)/($C$13*$C$7)</f>
        <v>1.2660395519999996E-3</v>
      </c>
      <c r="AA44" s="339" t="s">
        <v>2</v>
      </c>
      <c r="AB44" s="340">
        <f>((AA14^2+AB14^2)*$J$46)/(100*$C$13)</f>
        <v>2.7694615199999991E-2</v>
      </c>
      <c r="AC44" s="338">
        <f>((AD14^2+AE14^2)*$G$46/1000)/($C$13*$C$7)</f>
        <v>1.3079170560000004E-3</v>
      </c>
      <c r="AD44" s="339" t="s">
        <v>2</v>
      </c>
      <c r="AE44" s="340">
        <f>((AD14^2+AE14^2)*$J$46)/(100*$C$13)</f>
        <v>2.8610685600000005E-2</v>
      </c>
      <c r="AF44" s="338">
        <f>((AG14^2+AH14^2)*$G$46/1000)/($C$13*$C$7)</f>
        <v>1.5076986239999999E-3</v>
      </c>
      <c r="AG44" s="339" t="s">
        <v>2</v>
      </c>
      <c r="AH44" s="340">
        <f>((AG14^2+AH14^2)*$J$46)/(100*$C$13)</f>
        <v>3.2980907399999995E-2</v>
      </c>
      <c r="AI44" s="338">
        <f>((AJ14^2+AK14^2)*$G$46/1000)/($C$13*$C$7)</f>
        <v>1.4460430080000001E-3</v>
      </c>
      <c r="AJ44" s="339" t="s">
        <v>2</v>
      </c>
      <c r="AK44" s="340">
        <f>((AJ14^2+AK14^2)*$J$46)/(100*$C$13)</f>
        <v>3.1632190800000008E-2</v>
      </c>
      <c r="AL44" s="338">
        <f>((AM14^2+AN14^2)*$G$46/1000)/($C$13*$C$7)</f>
        <v>1.3311292799999999E-3</v>
      </c>
      <c r="AM44" s="339" t="s">
        <v>2</v>
      </c>
      <c r="AN44" s="340">
        <f>((AM14^2+AN14^2)*$J$46)/(100*$C$13)</f>
        <v>2.9118452999999999E-2</v>
      </c>
      <c r="AO44" s="338">
        <f>((AP14^2+AQ14^2)*$G$46/1000)/($C$13*$C$7)</f>
        <v>1.3401173759999998E-3</v>
      </c>
      <c r="AP44" s="339" t="s">
        <v>2</v>
      </c>
      <c r="AQ44" s="340">
        <f>((AP14^2+AQ14^2)*$J$46)/(100*$C$13)</f>
        <v>2.9315067599999998E-2</v>
      </c>
      <c r="AR44" s="284"/>
      <c r="AS44" s="356"/>
    </row>
    <row r="45" spans="1:81" s="230" customFormat="1" ht="16.5" customHeight="1" x14ac:dyDescent="0.25">
      <c r="A45" s="2062"/>
      <c r="B45" s="341" t="s">
        <v>105</v>
      </c>
      <c r="C45" s="342">
        <v>27</v>
      </c>
      <c r="D45" s="343"/>
      <c r="E45" s="2121" t="s">
        <v>106</v>
      </c>
      <c r="F45" s="2121"/>
      <c r="G45" s="344">
        <v>173</v>
      </c>
      <c r="H45" s="345"/>
      <c r="I45" s="346"/>
      <c r="J45" s="357"/>
      <c r="K45" s="2127"/>
      <c r="L45" s="2128"/>
      <c r="M45" s="2129"/>
      <c r="N45" s="2127"/>
      <c r="O45" s="2128"/>
      <c r="P45" s="2129"/>
      <c r="Q45" s="2127"/>
      <c r="R45" s="2128"/>
      <c r="S45" s="2129"/>
      <c r="T45" s="2127"/>
      <c r="U45" s="2128"/>
      <c r="V45" s="2129"/>
      <c r="W45" s="2127"/>
      <c r="X45" s="2128"/>
      <c r="Y45" s="2129"/>
      <c r="Z45" s="2127"/>
      <c r="AA45" s="2128"/>
      <c r="AB45" s="2129"/>
      <c r="AC45" s="2127"/>
      <c r="AD45" s="2128"/>
      <c r="AE45" s="2129"/>
      <c r="AF45" s="2127"/>
      <c r="AG45" s="2128"/>
      <c r="AH45" s="2129"/>
      <c r="AI45" s="2127"/>
      <c r="AJ45" s="2128"/>
      <c r="AK45" s="2129"/>
      <c r="AL45" s="2127"/>
      <c r="AM45" s="2128"/>
      <c r="AN45" s="2129"/>
      <c r="AO45" s="2127"/>
      <c r="AP45" s="2128"/>
      <c r="AQ45" s="2129"/>
    </row>
    <row r="46" spans="1:81" s="230" customFormat="1" ht="16.5" customHeight="1" thickBot="1" x14ac:dyDescent="0.3">
      <c r="A46" s="2062"/>
      <c r="B46" s="358"/>
      <c r="C46" s="359"/>
      <c r="D46" s="231"/>
      <c r="E46" s="348"/>
      <c r="F46" s="348" t="s">
        <v>57</v>
      </c>
      <c r="G46" s="349">
        <v>120</v>
      </c>
      <c r="H46" s="2122" t="s">
        <v>56</v>
      </c>
      <c r="I46" s="2123"/>
      <c r="J46" s="351">
        <v>10.5</v>
      </c>
      <c r="K46" s="2130"/>
      <c r="L46" s="2131"/>
      <c r="M46" s="2132"/>
      <c r="N46" s="2130"/>
      <c r="O46" s="2131"/>
      <c r="P46" s="2132"/>
      <c r="Q46" s="2130"/>
      <c r="R46" s="2131"/>
      <c r="S46" s="2132"/>
      <c r="T46" s="2130"/>
      <c r="U46" s="2131"/>
      <c r="V46" s="2132"/>
      <c r="W46" s="2130"/>
      <c r="X46" s="2131"/>
      <c r="Y46" s="2132"/>
      <c r="Z46" s="2130"/>
      <c r="AA46" s="2131"/>
      <c r="AB46" s="2132"/>
      <c r="AC46" s="2130"/>
      <c r="AD46" s="2131"/>
      <c r="AE46" s="2132"/>
      <c r="AF46" s="2130"/>
      <c r="AG46" s="2131"/>
      <c r="AH46" s="2132"/>
      <c r="AI46" s="2130"/>
      <c r="AJ46" s="2131"/>
      <c r="AK46" s="2132"/>
      <c r="AL46" s="2130"/>
      <c r="AM46" s="2131"/>
      <c r="AN46" s="2132"/>
      <c r="AO46" s="2130"/>
      <c r="AP46" s="2131"/>
      <c r="AQ46" s="2132"/>
    </row>
    <row r="47" spans="1:81" s="363" customFormat="1" ht="16.5" customHeight="1" thickBot="1" x14ac:dyDescent="0.3">
      <c r="A47" s="2063"/>
      <c r="B47" s="2124" t="s">
        <v>29</v>
      </c>
      <c r="C47" s="2125"/>
      <c r="D47" s="2125"/>
      <c r="E47" s="2125"/>
      <c r="F47" s="2125"/>
      <c r="G47" s="2126"/>
      <c r="H47" s="360">
        <f>I14+H43+H44</f>
        <v>2.330098068736</v>
      </c>
      <c r="I47" s="361" t="s">
        <v>2</v>
      </c>
      <c r="J47" s="362">
        <f>J14+J43+J44</f>
        <v>0.84502025359999999</v>
      </c>
      <c r="K47" s="360">
        <f>L14+K43+K44</f>
        <v>2.323090898112</v>
      </c>
      <c r="L47" s="361" t="s">
        <v>2</v>
      </c>
      <c r="M47" s="362">
        <f>M14+M43+M44</f>
        <v>0.84086339619999995</v>
      </c>
      <c r="N47" s="360">
        <f>O14+N43+N44</f>
        <v>2.3060715827199996</v>
      </c>
      <c r="O47" s="361" t="s">
        <v>2</v>
      </c>
      <c r="P47" s="362">
        <f>P14+P43+P44</f>
        <v>0.82244087199999993</v>
      </c>
      <c r="Q47" s="360">
        <f>R14+Q43+Q44</f>
        <v>2.335099291008</v>
      </c>
      <c r="R47" s="361" t="s">
        <v>2</v>
      </c>
      <c r="S47" s="362">
        <f>S14+S43+S44</f>
        <v>0.8320469908</v>
      </c>
      <c r="T47" s="360">
        <f>U14+T43+T44</f>
        <v>2.2930588080000001</v>
      </c>
      <c r="U47" s="361" t="s">
        <v>2</v>
      </c>
      <c r="V47" s="362">
        <f>V14+V43+V44</f>
        <v>0.81616142499999988</v>
      </c>
      <c r="W47" s="360">
        <f>X14+W43+W44</f>
        <v>2.4261861990400004</v>
      </c>
      <c r="X47" s="361" t="s">
        <v>2</v>
      </c>
      <c r="Y47" s="362">
        <f>Y14+Y43+Y44</f>
        <v>0.85294810399999998</v>
      </c>
      <c r="Z47" s="360">
        <f>AA14+Z43+Z44</f>
        <v>2.5082660395519998</v>
      </c>
      <c r="AA47" s="361" t="s">
        <v>2</v>
      </c>
      <c r="AB47" s="362">
        <f>AB14+AB43+AB44</f>
        <v>0.86669461519999991</v>
      </c>
      <c r="AC47" s="360">
        <f>AD14+AC43+AC44</f>
        <v>2.5503079170560006</v>
      </c>
      <c r="AD47" s="361" t="s">
        <v>2</v>
      </c>
      <c r="AE47" s="362">
        <f>AE14+AE43+AE44</f>
        <v>0.87361068559999999</v>
      </c>
      <c r="AF47" s="360">
        <f>AG14+AF43+AF44</f>
        <v>2.6775076986240003</v>
      </c>
      <c r="AG47" s="361" t="s">
        <v>2</v>
      </c>
      <c r="AH47" s="362">
        <f>AH14+AH43+AH44</f>
        <v>1.1199809074</v>
      </c>
      <c r="AI47" s="360">
        <f>AJ14+AI43+AI44</f>
        <v>2.6234460430080002</v>
      </c>
      <c r="AJ47" s="361" t="s">
        <v>2</v>
      </c>
      <c r="AK47" s="362">
        <f>AK14+AK43+AK44</f>
        <v>1.0976321908</v>
      </c>
      <c r="AL47" s="360">
        <f>AM14+AL43+AL44</f>
        <v>2.54133112928</v>
      </c>
      <c r="AM47" s="361" t="s">
        <v>2</v>
      </c>
      <c r="AN47" s="362">
        <f>AN14+AN43+AN44</f>
        <v>0.98811845300000012</v>
      </c>
      <c r="AO47" s="360">
        <f>AP14+AO43+AO44</f>
        <v>2.5253401173759999</v>
      </c>
      <c r="AP47" s="361" t="s">
        <v>2</v>
      </c>
      <c r="AQ47" s="362">
        <f>AQ14+AQ43+AQ44</f>
        <v>1.0653150676000001</v>
      </c>
      <c r="CC47" s="364"/>
    </row>
    <row r="48" spans="1:81" s="230" customFormat="1" ht="16.5" customHeight="1" x14ac:dyDescent="0.25">
      <c r="A48" s="2104" t="s">
        <v>20</v>
      </c>
      <c r="B48" s="2105"/>
      <c r="C48" s="2105"/>
      <c r="D48" s="2105"/>
      <c r="E48" s="2105"/>
      <c r="F48" s="2105"/>
      <c r="G48" s="2133"/>
      <c r="H48" s="365"/>
      <c r="I48" s="366"/>
      <c r="J48" s="347"/>
      <c r="K48" s="365"/>
      <c r="L48" s="366"/>
      <c r="M48" s="347"/>
      <c r="N48" s="365"/>
      <c r="O48" s="366"/>
      <c r="P48" s="347"/>
      <c r="Q48" s="365"/>
      <c r="R48" s="366"/>
      <c r="S48" s="347"/>
      <c r="T48" s="365"/>
      <c r="U48" s="366"/>
      <c r="V48" s="347"/>
      <c r="W48" s="365"/>
      <c r="X48" s="366"/>
      <c r="Y48" s="347"/>
      <c r="Z48" s="365"/>
      <c r="AA48" s="366"/>
      <c r="AB48" s="347"/>
      <c r="AC48" s="365"/>
      <c r="AD48" s="366"/>
      <c r="AE48" s="347"/>
      <c r="AF48" s="365"/>
      <c r="AG48" s="366"/>
      <c r="AH48" s="347"/>
      <c r="AI48" s="365"/>
      <c r="AJ48" s="366"/>
      <c r="AK48" s="347"/>
      <c r="AL48" s="365"/>
      <c r="AM48" s="366"/>
      <c r="AN48" s="347"/>
      <c r="AO48" s="365"/>
      <c r="AP48" s="366"/>
      <c r="AQ48" s="347"/>
    </row>
    <row r="49" spans="1:78" s="230" customFormat="1" ht="16.5" customHeight="1" thickBot="1" x14ac:dyDescent="0.3">
      <c r="A49" s="367" t="s">
        <v>21</v>
      </c>
      <c r="B49" s="368"/>
      <c r="C49" s="369"/>
      <c r="D49" s="368"/>
      <c r="E49" s="263"/>
      <c r="F49" s="368" t="s">
        <v>25</v>
      </c>
      <c r="G49" s="262"/>
      <c r="H49" s="370">
        <f>SUM(H42,H47)</f>
        <v>3.2762731039999999</v>
      </c>
      <c r="I49" s="371" t="s">
        <v>2</v>
      </c>
      <c r="J49" s="372">
        <f>SUM(J42,J47)</f>
        <v>1.2808491499999999</v>
      </c>
      <c r="K49" s="370">
        <f>SUM(K42,K47)</f>
        <v>3.274268103552</v>
      </c>
      <c r="L49" s="371" t="s">
        <v>2</v>
      </c>
      <c r="M49" s="372">
        <f>SUM(M42,M47)</f>
        <v>1.2807397651999999</v>
      </c>
      <c r="N49" s="370">
        <f>SUM(N42,N47)</f>
        <v>3.2342391622399997</v>
      </c>
      <c r="O49" s="371" t="s">
        <v>2</v>
      </c>
      <c r="P49" s="372">
        <f>SUM(P42,P47)</f>
        <v>1.246106674</v>
      </c>
      <c r="Q49" s="370">
        <f>SUM(Q42,Q47)</f>
        <v>3.2652677537280002</v>
      </c>
      <c r="R49" s="371" t="s">
        <v>2</v>
      </c>
      <c r="S49" s="372">
        <f>SUM(S42,S47)</f>
        <v>1.2577321127999999</v>
      </c>
      <c r="T49" s="370">
        <f>SUM(T42,T47)</f>
        <v>3.2362317155199998</v>
      </c>
      <c r="U49" s="371" t="s">
        <v>2</v>
      </c>
      <c r="V49" s="372">
        <f>SUM(V42,V47)</f>
        <v>1.2409437769999998</v>
      </c>
      <c r="W49" s="370">
        <f>SUM(W42,W47)</f>
        <v>3.3793631241600002</v>
      </c>
      <c r="X49" s="371" t="s">
        <v>2</v>
      </c>
      <c r="Y49" s="372">
        <f>SUM(Y42,Y47)</f>
        <v>1.282818341</v>
      </c>
      <c r="Z49" s="370">
        <f>SUM(Z42,Z47)</f>
        <v>3.5084604929280001</v>
      </c>
      <c r="AA49" s="371" t="s">
        <v>2</v>
      </c>
      <c r="AB49" s="372">
        <f>SUM(AB42,AB47)</f>
        <v>1.3009482827999999</v>
      </c>
      <c r="AC49" s="370">
        <f>SUM(AC42,AC47)</f>
        <v>3.6375373357440006</v>
      </c>
      <c r="AD49" s="371" t="s">
        <v>2</v>
      </c>
      <c r="AE49" s="372">
        <f>SUM(AE42,AE47)</f>
        <v>1.3186292194</v>
      </c>
      <c r="AF49" s="370">
        <f>SUM(AF42,AF47)</f>
        <v>3.8257746932480003</v>
      </c>
      <c r="AG49" s="371" t="s">
        <v>2</v>
      </c>
      <c r="AH49" s="372">
        <f>SUM(AH42,AH47)</f>
        <v>1.6648214148</v>
      </c>
      <c r="AI49" s="370">
        <f>SUM(AI42,AI47)</f>
        <v>3.7817240747520002</v>
      </c>
      <c r="AJ49" s="371" t="s">
        <v>2</v>
      </c>
      <c r="AK49" s="372">
        <f>SUM(AK42,AK47)</f>
        <v>1.6877141352</v>
      </c>
      <c r="AL49" s="370">
        <f>SUM(AL42,AL47)</f>
        <v>3.6495830720639999</v>
      </c>
      <c r="AM49" s="371" t="s">
        <v>2</v>
      </c>
      <c r="AN49" s="372">
        <f>SUM(AN42,AN47)</f>
        <v>1.5456297014000002</v>
      </c>
      <c r="AO49" s="370">
        <f>SUM(AO42,AO47)</f>
        <v>3.657601987904</v>
      </c>
      <c r="AP49" s="371" t="s">
        <v>2</v>
      </c>
      <c r="AQ49" s="372">
        <f>SUM(AQ42,AQ47)</f>
        <v>1.6220434853999999</v>
      </c>
    </row>
    <row r="50" spans="1:78" s="230" customFormat="1" ht="16.5" customHeight="1" x14ac:dyDescent="0.25">
      <c r="A50" s="373" t="s">
        <v>107</v>
      </c>
      <c r="B50" s="363"/>
      <c r="C50" s="363"/>
      <c r="D50" s="363"/>
      <c r="E50" s="363"/>
      <c r="F50" s="363"/>
      <c r="G50" s="363"/>
      <c r="H50" s="363"/>
      <c r="I50" s="374">
        <f>J49/H49</f>
        <v>0.39094700268918725</v>
      </c>
      <c r="J50" s="363"/>
      <c r="K50" s="363"/>
      <c r="L50" s="374">
        <f>M49/K49</f>
        <v>0.39115299196502096</v>
      </c>
      <c r="M50" s="363"/>
      <c r="N50" s="363"/>
      <c r="O50" s="374">
        <f>P49/N49</f>
        <v>0.38528587760249605</v>
      </c>
      <c r="P50" s="363"/>
      <c r="Q50" s="363"/>
      <c r="R50" s="374">
        <f>S49/Q49</f>
        <v>0.38518498563066694</v>
      </c>
      <c r="S50" s="363"/>
      <c r="T50" s="363"/>
      <c r="U50" s="374">
        <f>V49/T49</f>
        <v>0.38345331425089385</v>
      </c>
      <c r="V50" s="363"/>
      <c r="W50" s="363"/>
      <c r="X50" s="374">
        <f>Y49/W49</f>
        <v>0.3796035802807865</v>
      </c>
      <c r="Y50" s="363"/>
      <c r="Z50" s="363"/>
      <c r="AA50" s="374">
        <f>AB49/Z49</f>
        <v>0.37080317290798054</v>
      </c>
      <c r="AB50" s="363"/>
      <c r="AC50" s="363"/>
      <c r="AD50" s="374">
        <f>AE49/AC49</f>
        <v>0.36250603023165817</v>
      </c>
      <c r="AE50" s="363"/>
      <c r="AF50" s="363"/>
      <c r="AG50" s="374">
        <f>AH49/AF49</f>
        <v>0.43515929407400689</v>
      </c>
      <c r="AH50" s="363"/>
      <c r="AI50" s="363"/>
      <c r="AJ50" s="374">
        <f>AK49/AI49</f>
        <v>0.44628166990493029</v>
      </c>
      <c r="AK50" s="363"/>
      <c r="AL50" s="363"/>
      <c r="AM50" s="374">
        <f>AN49/AL49</f>
        <v>0.4235085682063619</v>
      </c>
      <c r="AN50" s="363"/>
      <c r="AO50" s="363"/>
      <c r="AP50" s="374">
        <f>AQ49/AO49</f>
        <v>0.44347184050212002</v>
      </c>
      <c r="AQ50" s="363"/>
    </row>
    <row r="51" spans="1:78" s="375" customFormat="1" ht="16.5" customHeight="1" x14ac:dyDescent="0.25">
      <c r="A51" s="373" t="s">
        <v>65</v>
      </c>
      <c r="C51" s="373"/>
      <c r="D51" s="373"/>
      <c r="E51" s="373"/>
      <c r="F51" s="373"/>
      <c r="T51" s="376"/>
      <c r="U51" s="377"/>
    </row>
    <row r="52" spans="1:78" s="378" customFormat="1" ht="30" customHeight="1" thickBot="1" x14ac:dyDescent="0.3">
      <c r="H52" s="379"/>
      <c r="I52" s="375"/>
      <c r="J52" s="375"/>
      <c r="K52" s="379"/>
      <c r="L52" s="375"/>
      <c r="M52" s="375"/>
      <c r="N52" s="379"/>
      <c r="O52" s="375"/>
      <c r="P52" s="375"/>
      <c r="Q52" s="379"/>
      <c r="R52" s="375"/>
      <c r="S52" s="375"/>
      <c r="T52" s="379"/>
      <c r="U52" s="375"/>
      <c r="V52" s="375"/>
      <c r="W52" s="379"/>
      <c r="X52" s="375"/>
      <c r="Y52" s="375"/>
      <c r="Z52" s="379"/>
      <c r="AA52" s="375"/>
      <c r="AB52" s="375"/>
      <c r="AC52" s="379"/>
      <c r="AD52" s="375"/>
      <c r="AE52" s="375"/>
      <c r="AF52" s="379"/>
      <c r="AG52" s="375"/>
      <c r="AH52" s="375"/>
      <c r="AI52" s="379"/>
      <c r="AJ52" s="375"/>
      <c r="AK52" s="375"/>
      <c r="AL52" s="379"/>
      <c r="AM52" s="375"/>
      <c r="AN52" s="375"/>
      <c r="AO52" s="379"/>
      <c r="AP52" s="375"/>
      <c r="AQ52" s="375"/>
      <c r="AS52" s="380"/>
      <c r="AV52" s="380"/>
      <c r="AY52" s="380"/>
      <c r="BB52" s="380"/>
      <c r="BE52" s="380"/>
      <c r="BH52" s="380"/>
      <c r="BK52" s="380"/>
      <c r="BN52" s="380"/>
      <c r="BQ52" s="380"/>
      <c r="BT52" s="380"/>
      <c r="BW52" s="380"/>
      <c r="BZ52" s="380"/>
    </row>
    <row r="53" spans="1:78" s="378" customFormat="1" ht="17.25" thickBot="1" x14ac:dyDescent="0.3">
      <c r="A53" s="2037" t="s">
        <v>12</v>
      </c>
      <c r="B53" s="2038"/>
      <c r="C53" s="2038"/>
      <c r="D53" s="2038"/>
      <c r="E53" s="2038"/>
      <c r="F53" s="2038"/>
      <c r="G53" s="2039"/>
      <c r="H53" s="2040" t="s">
        <v>108</v>
      </c>
      <c r="I53" s="2041"/>
      <c r="J53" s="2042"/>
      <c r="K53" s="2040" t="s">
        <v>109</v>
      </c>
      <c r="L53" s="2041"/>
      <c r="M53" s="2042"/>
      <c r="N53" s="2040" t="s">
        <v>110</v>
      </c>
      <c r="O53" s="2041"/>
      <c r="P53" s="2042"/>
      <c r="Q53" s="2040" t="s">
        <v>111</v>
      </c>
      <c r="R53" s="2041"/>
      <c r="S53" s="2042"/>
      <c r="T53" s="2040" t="s">
        <v>112</v>
      </c>
      <c r="U53" s="2041"/>
      <c r="V53" s="2042"/>
      <c r="W53" s="2040" t="s">
        <v>113</v>
      </c>
      <c r="X53" s="2041"/>
      <c r="Y53" s="2042"/>
      <c r="Z53" s="2040" t="s">
        <v>114</v>
      </c>
      <c r="AA53" s="2041"/>
      <c r="AB53" s="2042"/>
      <c r="AC53" s="2040" t="s">
        <v>115</v>
      </c>
      <c r="AD53" s="2041"/>
      <c r="AE53" s="2042"/>
      <c r="AF53" s="2040" t="s">
        <v>116</v>
      </c>
      <c r="AG53" s="2041"/>
      <c r="AH53" s="2042"/>
      <c r="AI53" s="2040" t="s">
        <v>117</v>
      </c>
      <c r="AJ53" s="2041"/>
      <c r="AK53" s="2042"/>
      <c r="AL53" s="2040" t="s">
        <v>118</v>
      </c>
      <c r="AM53" s="2041"/>
      <c r="AN53" s="2042"/>
      <c r="AO53" s="2040" t="s">
        <v>119</v>
      </c>
      <c r="AP53" s="2041"/>
      <c r="AQ53" s="2042"/>
    </row>
    <row r="54" spans="1:78" s="378" customFormat="1" ht="16.5" x14ac:dyDescent="0.25">
      <c r="A54" s="2043" t="s">
        <v>79</v>
      </c>
      <c r="B54" s="2044"/>
      <c r="C54" s="2047" t="s">
        <v>80</v>
      </c>
      <c r="D54" s="2049"/>
      <c r="E54" s="2050"/>
      <c r="F54" s="2050"/>
      <c r="G54" s="2051"/>
      <c r="H54" s="240" t="s">
        <v>4</v>
      </c>
      <c r="I54" s="241" t="s">
        <v>9</v>
      </c>
      <c r="J54" s="242" t="s">
        <v>10</v>
      </c>
      <c r="K54" s="240" t="s">
        <v>4</v>
      </c>
      <c r="L54" s="241" t="s">
        <v>9</v>
      </c>
      <c r="M54" s="242" t="s">
        <v>10</v>
      </c>
      <c r="N54" s="240" t="s">
        <v>4</v>
      </c>
      <c r="O54" s="241" t="s">
        <v>9</v>
      </c>
      <c r="P54" s="242" t="s">
        <v>10</v>
      </c>
      <c r="Q54" s="240" t="s">
        <v>4</v>
      </c>
      <c r="R54" s="241" t="s">
        <v>9</v>
      </c>
      <c r="S54" s="242" t="s">
        <v>10</v>
      </c>
      <c r="T54" s="240" t="s">
        <v>4</v>
      </c>
      <c r="U54" s="241" t="s">
        <v>9</v>
      </c>
      <c r="V54" s="242" t="s">
        <v>10</v>
      </c>
      <c r="W54" s="240" t="s">
        <v>4</v>
      </c>
      <c r="X54" s="241" t="s">
        <v>9</v>
      </c>
      <c r="Y54" s="242" t="s">
        <v>10</v>
      </c>
      <c r="Z54" s="240" t="s">
        <v>4</v>
      </c>
      <c r="AA54" s="241" t="s">
        <v>9</v>
      </c>
      <c r="AB54" s="242" t="s">
        <v>10</v>
      </c>
      <c r="AC54" s="240" t="s">
        <v>4</v>
      </c>
      <c r="AD54" s="241" t="s">
        <v>9</v>
      </c>
      <c r="AE54" s="242" t="s">
        <v>10</v>
      </c>
      <c r="AF54" s="240" t="s">
        <v>4</v>
      </c>
      <c r="AG54" s="241" t="s">
        <v>9</v>
      </c>
      <c r="AH54" s="242" t="s">
        <v>10</v>
      </c>
      <c r="AI54" s="240" t="s">
        <v>4</v>
      </c>
      <c r="AJ54" s="241" t="s">
        <v>9</v>
      </c>
      <c r="AK54" s="242" t="s">
        <v>10</v>
      </c>
      <c r="AL54" s="240" t="s">
        <v>4</v>
      </c>
      <c r="AM54" s="241" t="s">
        <v>9</v>
      </c>
      <c r="AN54" s="242" t="s">
        <v>10</v>
      </c>
      <c r="AO54" s="240" t="s">
        <v>4</v>
      </c>
      <c r="AP54" s="241" t="s">
        <v>9</v>
      </c>
      <c r="AQ54" s="242" t="s">
        <v>10</v>
      </c>
      <c r="BN54" s="381"/>
      <c r="BO54" s="381"/>
      <c r="BP54" s="382">
        <v>0</v>
      </c>
      <c r="BQ54" s="382"/>
      <c r="BR54" s="381"/>
      <c r="BS54" s="381"/>
    </row>
    <row r="55" spans="1:78" ht="17.25" thickBot="1" x14ac:dyDescent="0.3">
      <c r="A55" s="2045"/>
      <c r="B55" s="2046"/>
      <c r="C55" s="2048"/>
      <c r="D55" s="2052"/>
      <c r="E55" s="2053"/>
      <c r="F55" s="2053"/>
      <c r="G55" s="2054"/>
      <c r="H55" s="243" t="s">
        <v>30</v>
      </c>
      <c r="I55" s="244" t="s">
        <v>31</v>
      </c>
      <c r="J55" s="245" t="s">
        <v>32</v>
      </c>
      <c r="K55" s="243" t="s">
        <v>30</v>
      </c>
      <c r="L55" s="244" t="s">
        <v>31</v>
      </c>
      <c r="M55" s="245" t="s">
        <v>32</v>
      </c>
      <c r="N55" s="243" t="s">
        <v>30</v>
      </c>
      <c r="O55" s="244" t="s">
        <v>31</v>
      </c>
      <c r="P55" s="245" t="s">
        <v>32</v>
      </c>
      <c r="Q55" s="243" t="s">
        <v>30</v>
      </c>
      <c r="R55" s="244" t="s">
        <v>31</v>
      </c>
      <c r="S55" s="245" t="s">
        <v>32</v>
      </c>
      <c r="T55" s="243" t="s">
        <v>30</v>
      </c>
      <c r="U55" s="244" t="s">
        <v>31</v>
      </c>
      <c r="V55" s="245" t="s">
        <v>32</v>
      </c>
      <c r="W55" s="243" t="s">
        <v>30</v>
      </c>
      <c r="X55" s="244" t="s">
        <v>31</v>
      </c>
      <c r="Y55" s="245" t="s">
        <v>32</v>
      </c>
      <c r="Z55" s="243" t="s">
        <v>30</v>
      </c>
      <c r="AA55" s="244" t="s">
        <v>31</v>
      </c>
      <c r="AB55" s="245" t="s">
        <v>32</v>
      </c>
      <c r="AC55" s="243" t="s">
        <v>30</v>
      </c>
      <c r="AD55" s="244" t="s">
        <v>31</v>
      </c>
      <c r="AE55" s="245" t="s">
        <v>32</v>
      </c>
      <c r="AF55" s="243" t="s">
        <v>30</v>
      </c>
      <c r="AG55" s="244" t="s">
        <v>31</v>
      </c>
      <c r="AH55" s="245" t="s">
        <v>32</v>
      </c>
      <c r="AI55" s="243" t="s">
        <v>30</v>
      </c>
      <c r="AJ55" s="244" t="s">
        <v>31</v>
      </c>
      <c r="AK55" s="245" t="s">
        <v>32</v>
      </c>
      <c r="AL55" s="243" t="s">
        <v>30</v>
      </c>
      <c r="AM55" s="244" t="s">
        <v>31</v>
      </c>
      <c r="AN55" s="245" t="s">
        <v>32</v>
      </c>
      <c r="AO55" s="243" t="s">
        <v>30</v>
      </c>
      <c r="AP55" s="244" t="s">
        <v>31</v>
      </c>
      <c r="AQ55" s="245" t="s">
        <v>32</v>
      </c>
      <c r="BN55" s="381"/>
      <c r="BO55" s="381"/>
      <c r="BP55" s="382">
        <v>0</v>
      </c>
      <c r="BR55" s="381"/>
      <c r="BS55" s="381"/>
    </row>
    <row r="56" spans="1:78" ht="16.5" x14ac:dyDescent="0.25">
      <c r="A56" s="2055" t="s">
        <v>0</v>
      </c>
      <c r="B56" s="2056"/>
      <c r="C56" s="2061">
        <v>25</v>
      </c>
      <c r="D56" s="2064" t="s">
        <v>13</v>
      </c>
      <c r="E56" s="2065"/>
      <c r="F56" s="2068" t="s">
        <v>81</v>
      </c>
      <c r="G56" s="2069"/>
      <c r="H56" s="246">
        <f>SQRT(I56^2+J56^2)*1000/(1.73*H59)</f>
        <v>0</v>
      </c>
      <c r="I56" s="247">
        <v>0</v>
      </c>
      <c r="J56" s="248">
        <v>0</v>
      </c>
      <c r="K56" s="246">
        <f>SQRT(L56^2+M56^2)*1000/(1.73*K59)</f>
        <v>0</v>
      </c>
      <c r="L56" s="247">
        <v>0</v>
      </c>
      <c r="M56" s="248">
        <v>0</v>
      </c>
      <c r="N56" s="246">
        <f>SQRT(O56^2+P56^2)*1000/(1.73*N59)</f>
        <v>0</v>
      </c>
      <c r="O56" s="247">
        <v>0</v>
      </c>
      <c r="P56" s="248">
        <v>0</v>
      </c>
      <c r="Q56" s="246">
        <f>SQRT(R56^2+S56^2)*1000/(1.73*Q59)</f>
        <v>0</v>
      </c>
      <c r="R56" s="247">
        <v>0</v>
      </c>
      <c r="S56" s="248">
        <v>0</v>
      </c>
      <c r="T56" s="246">
        <f>SQRT(U56^2+V56^2)*1000/(1.73*T59)</f>
        <v>0</v>
      </c>
      <c r="U56" s="247">
        <v>0</v>
      </c>
      <c r="V56" s="248">
        <v>0</v>
      </c>
      <c r="W56" s="246">
        <f>SQRT(X56^2+Y56^2)*1000/(1.73*W59)</f>
        <v>0</v>
      </c>
      <c r="X56" s="247">
        <v>0</v>
      </c>
      <c r="Y56" s="248">
        <v>0</v>
      </c>
      <c r="Z56" s="246">
        <f>SQRT(AA56^2+AB56^2)*1000/(1.73*Z59)</f>
        <v>0</v>
      </c>
      <c r="AA56" s="247">
        <v>0</v>
      </c>
      <c r="AB56" s="248">
        <v>0</v>
      </c>
      <c r="AC56" s="246">
        <f>SQRT(AD56^2+AE56^2)*1000/(1.73*AC59)</f>
        <v>0</v>
      </c>
      <c r="AD56" s="247">
        <v>0</v>
      </c>
      <c r="AE56" s="248">
        <v>0</v>
      </c>
      <c r="AF56" s="246">
        <f>SQRT(AG56^2+AH56^2)*1000/(1.73*AF59)</f>
        <v>0</v>
      </c>
      <c r="AG56" s="247">
        <v>0</v>
      </c>
      <c r="AH56" s="248">
        <v>0</v>
      </c>
      <c r="AI56" s="246">
        <f>SQRT(AJ56^2+AK56^2)*1000/(1.73*AI59)</f>
        <v>0</v>
      </c>
      <c r="AJ56" s="247">
        <v>0</v>
      </c>
      <c r="AK56" s="248">
        <v>0</v>
      </c>
      <c r="AL56" s="246">
        <f>SQRT(AM56^2+AN56^2)*1000/(1.73*AL59)</f>
        <v>0</v>
      </c>
      <c r="AM56" s="247">
        <v>0</v>
      </c>
      <c r="AN56" s="248">
        <v>0</v>
      </c>
      <c r="AO56" s="246">
        <f>SQRT(AP56^2+AQ56^2)*1000/(1.73*AO59)</f>
        <v>0</v>
      </c>
      <c r="AP56" s="247">
        <v>0</v>
      </c>
      <c r="AQ56" s="248">
        <v>0</v>
      </c>
      <c r="BN56" s="381"/>
      <c r="BO56" s="381"/>
      <c r="BP56" s="382">
        <v>0</v>
      </c>
      <c r="BR56" s="381"/>
      <c r="BS56" s="381"/>
    </row>
    <row r="57" spans="1:78" ht="17.25" thickBot="1" x14ac:dyDescent="0.3">
      <c r="A57" s="2057"/>
      <c r="B57" s="2058"/>
      <c r="C57" s="2062"/>
      <c r="D57" s="2066"/>
      <c r="E57" s="2067"/>
      <c r="F57" s="2070" t="s">
        <v>82</v>
      </c>
      <c r="G57" s="2071"/>
      <c r="H57" s="250">
        <f>SQRT(I57^2+J57^2)*1000/(1.73*H60)</f>
        <v>56.58861292074247</v>
      </c>
      <c r="I57" s="251">
        <f>I82+I80</f>
        <v>1.016</v>
      </c>
      <c r="J57" s="252">
        <f>J82+J80</f>
        <v>0.255</v>
      </c>
      <c r="K57" s="250">
        <f>SQRT(L57^2+M57^2)*1000/(1.73*K60)</f>
        <v>63.014425439980513</v>
      </c>
      <c r="L57" s="251">
        <f>L82+L80</f>
        <v>1.095</v>
      </c>
      <c r="M57" s="252">
        <f>M82+M80</f>
        <v>0.40200000000000002</v>
      </c>
      <c r="N57" s="250">
        <f>SQRT(O57^2+P57^2)*1000/(1.73*N60)</f>
        <v>60.85095363713247</v>
      </c>
      <c r="O57" s="251">
        <f>O82+O80</f>
        <v>1.07</v>
      </c>
      <c r="P57" s="252">
        <f>P82+P80</f>
        <v>0.35199999999999998</v>
      </c>
      <c r="Q57" s="250">
        <f>SQRT(R57^2+S57^2)*1000/(1.73*Q60)</f>
        <v>64.136617002507165</v>
      </c>
      <c r="R57" s="251">
        <f>R82+R80</f>
        <v>1.121</v>
      </c>
      <c r="S57" s="252">
        <f>S82+S80</f>
        <v>0.39100000000000001</v>
      </c>
      <c r="T57" s="250">
        <f>SQRT(U57^2+V57^2)*1000/(1.73*T60)</f>
        <v>65.638493646940091</v>
      </c>
      <c r="U57" s="251">
        <f>U82+U80</f>
        <v>1.1479999999999999</v>
      </c>
      <c r="V57" s="252">
        <f>V82+V80</f>
        <v>0.39800000000000002</v>
      </c>
      <c r="W57" s="250">
        <f>SQRT(X57^2+Y57^2)*1000/(1.73*W60)</f>
        <v>66.384251679993397</v>
      </c>
      <c r="X57" s="251">
        <f>X82+X80</f>
        <v>1.157</v>
      </c>
      <c r="Y57" s="252">
        <f>Y82+Y80</f>
        <v>0.41400000000000003</v>
      </c>
      <c r="Z57" s="250">
        <f>SQRT(AA57^2+AB57^2)*1000/(1.73*Z60)</f>
        <v>67.198702935285837</v>
      </c>
      <c r="AA57" s="251">
        <f>AA82+AA80</f>
        <v>1.1729999999999998</v>
      </c>
      <c r="AB57" s="252">
        <f>AB82+AB80</f>
        <v>0.41400000000000003</v>
      </c>
      <c r="AC57" s="250">
        <f>SQRT(AD57^2+AE57^2)*1000/(1.73*AC60)</f>
        <v>62.272738969204397</v>
      </c>
      <c r="AD57" s="251">
        <f>AD82+AD80</f>
        <v>1.1080000000000001</v>
      </c>
      <c r="AE57" s="252">
        <f>AE82+AE80</f>
        <v>0.318</v>
      </c>
      <c r="AF57" s="250">
        <f>SQRT(AG57^2+AH57^2)*1000/(1.73*AF60)</f>
        <v>60.720388242175716</v>
      </c>
      <c r="AG57" s="251">
        <f>AG82+AG80</f>
        <v>1.087</v>
      </c>
      <c r="AH57" s="252">
        <f>AH82+AH80</f>
        <v>0.28600000000000003</v>
      </c>
      <c r="AI57" s="250">
        <f>SQRT(AJ57^2+AK57^2)*1000/(1.73*AI60)</f>
        <v>59.523860299938306</v>
      </c>
      <c r="AJ57" s="251">
        <f>AJ82+AJ80</f>
        <v>1.0680000000000001</v>
      </c>
      <c r="AK57" s="252">
        <f>AK82+AK80</f>
        <v>0.27100000000000002</v>
      </c>
      <c r="AL57" s="250">
        <f>SQRT(AM57^2+AN57^2)*1000/(1.73*AL60)</f>
        <v>58.534702528307058</v>
      </c>
      <c r="AM57" s="251">
        <f>AM82+AM80</f>
        <v>1.0469999999999999</v>
      </c>
      <c r="AN57" s="252">
        <f>AN82+AN80</f>
        <v>0.27900000000000003</v>
      </c>
      <c r="AO57" s="250">
        <f>SQRT(AP57^2+AQ57^2)*1000/(1.73*AO60)</f>
        <v>55.163456636116621</v>
      </c>
      <c r="AP57" s="251">
        <f>AP82+AP80</f>
        <v>0.98799999999999999</v>
      </c>
      <c r="AQ57" s="252">
        <f>AQ82+AQ80</f>
        <v>0.25800000000000001</v>
      </c>
      <c r="AR57" s="249"/>
      <c r="AS57" s="249"/>
      <c r="BN57" s="381"/>
      <c r="BO57" s="381"/>
      <c r="BP57" s="382">
        <v>0</v>
      </c>
      <c r="BR57" s="381"/>
      <c r="BS57" s="381"/>
    </row>
    <row r="58" spans="1:78" ht="17.25" thickBot="1" x14ac:dyDescent="0.3">
      <c r="A58" s="2057"/>
      <c r="B58" s="2058"/>
      <c r="C58" s="2062"/>
      <c r="D58" s="2072" t="s">
        <v>39</v>
      </c>
      <c r="E58" s="2073"/>
      <c r="F58" s="2073"/>
      <c r="G58" s="2074"/>
      <c r="H58" s="2075" t="s">
        <v>120</v>
      </c>
      <c r="I58" s="2076"/>
      <c r="J58" s="2077"/>
      <c r="K58" s="2075">
        <v>7</v>
      </c>
      <c r="L58" s="2076"/>
      <c r="M58" s="2077"/>
      <c r="N58" s="2075">
        <v>7</v>
      </c>
      <c r="O58" s="2076"/>
      <c r="P58" s="2077"/>
      <c r="Q58" s="2075">
        <v>7</v>
      </c>
      <c r="R58" s="2076"/>
      <c r="S58" s="2077"/>
      <c r="T58" s="2075">
        <v>7</v>
      </c>
      <c r="U58" s="2076"/>
      <c r="V58" s="2077"/>
      <c r="W58" s="2075">
        <v>7</v>
      </c>
      <c r="X58" s="2076"/>
      <c r="Y58" s="2077"/>
      <c r="Z58" s="2075">
        <v>7</v>
      </c>
      <c r="AA58" s="2076"/>
      <c r="AB58" s="2077"/>
      <c r="AC58" s="2075">
        <v>7</v>
      </c>
      <c r="AD58" s="2076"/>
      <c r="AE58" s="2077"/>
      <c r="AF58" s="2075">
        <v>7</v>
      </c>
      <c r="AG58" s="2076"/>
      <c r="AH58" s="2077"/>
      <c r="AI58" s="2075">
        <v>7</v>
      </c>
      <c r="AJ58" s="2076"/>
      <c r="AK58" s="2077"/>
      <c r="AL58" s="2075">
        <v>7</v>
      </c>
      <c r="AM58" s="2076"/>
      <c r="AN58" s="2077"/>
      <c r="AO58" s="2075">
        <v>7</v>
      </c>
      <c r="AP58" s="2076"/>
      <c r="AQ58" s="2077"/>
      <c r="AR58" s="230"/>
      <c r="AS58" s="230"/>
      <c r="BN58" s="381"/>
      <c r="BO58" s="381"/>
      <c r="BP58" s="382">
        <v>0</v>
      </c>
      <c r="BR58" s="381"/>
      <c r="BS58" s="381"/>
    </row>
    <row r="59" spans="1:78" ht="16.5" x14ac:dyDescent="0.25">
      <c r="A59" s="2057"/>
      <c r="B59" s="2058"/>
      <c r="C59" s="2062"/>
      <c r="D59" s="2078" t="s">
        <v>14</v>
      </c>
      <c r="E59" s="2056"/>
      <c r="F59" s="2068" t="s">
        <v>81</v>
      </c>
      <c r="G59" s="2069"/>
      <c r="H59" s="2079">
        <v>125</v>
      </c>
      <c r="I59" s="2080"/>
      <c r="J59" s="2081"/>
      <c r="K59" s="2079">
        <v>125</v>
      </c>
      <c r="L59" s="2080"/>
      <c r="M59" s="2081"/>
      <c r="N59" s="2079">
        <v>125</v>
      </c>
      <c r="O59" s="2080"/>
      <c r="P59" s="2081"/>
      <c r="Q59" s="2079">
        <v>125</v>
      </c>
      <c r="R59" s="2080"/>
      <c r="S59" s="2081"/>
      <c r="T59" s="2079">
        <v>125</v>
      </c>
      <c r="U59" s="2080"/>
      <c r="V59" s="2081"/>
      <c r="W59" s="2079">
        <v>125</v>
      </c>
      <c r="X59" s="2080"/>
      <c r="Y59" s="2081"/>
      <c r="Z59" s="2079">
        <v>125</v>
      </c>
      <c r="AA59" s="2080"/>
      <c r="AB59" s="2081"/>
      <c r="AC59" s="2079">
        <v>125</v>
      </c>
      <c r="AD59" s="2080"/>
      <c r="AE59" s="2081"/>
      <c r="AF59" s="2079">
        <v>125</v>
      </c>
      <c r="AG59" s="2080"/>
      <c r="AH59" s="2081"/>
      <c r="AI59" s="2079">
        <v>125</v>
      </c>
      <c r="AJ59" s="2080"/>
      <c r="AK59" s="2081"/>
      <c r="AL59" s="2079">
        <v>125</v>
      </c>
      <c r="AM59" s="2080"/>
      <c r="AN59" s="2081"/>
      <c r="AO59" s="2079">
        <v>125</v>
      </c>
      <c r="AP59" s="2080"/>
      <c r="AQ59" s="2081"/>
      <c r="AR59" s="230"/>
      <c r="AS59" s="230"/>
      <c r="BN59" s="381"/>
      <c r="BO59" s="381"/>
      <c r="BP59" s="382">
        <v>0</v>
      </c>
      <c r="BR59" s="381"/>
      <c r="BS59" s="381"/>
    </row>
    <row r="60" spans="1:78" ht="17.25" thickBot="1" x14ac:dyDescent="0.3">
      <c r="A60" s="2057"/>
      <c r="B60" s="2058"/>
      <c r="C60" s="2062"/>
      <c r="D60" s="2059"/>
      <c r="E60" s="2060"/>
      <c r="F60" s="2070" t="s">
        <v>82</v>
      </c>
      <c r="G60" s="2071"/>
      <c r="H60" s="2082">
        <v>10.7</v>
      </c>
      <c r="I60" s="2083"/>
      <c r="J60" s="2084"/>
      <c r="K60" s="2082">
        <v>10.7</v>
      </c>
      <c r="L60" s="2083"/>
      <c r="M60" s="2084"/>
      <c r="N60" s="2082">
        <v>10.7</v>
      </c>
      <c r="O60" s="2083"/>
      <c r="P60" s="2084"/>
      <c r="Q60" s="2082">
        <v>10.7</v>
      </c>
      <c r="R60" s="2083"/>
      <c r="S60" s="2084"/>
      <c r="T60" s="2082">
        <v>10.7</v>
      </c>
      <c r="U60" s="2083"/>
      <c r="V60" s="2084"/>
      <c r="W60" s="2082">
        <v>10.7</v>
      </c>
      <c r="X60" s="2083"/>
      <c r="Y60" s="2084"/>
      <c r="Z60" s="2082">
        <v>10.7</v>
      </c>
      <c r="AA60" s="2083"/>
      <c r="AB60" s="2084"/>
      <c r="AC60" s="2082">
        <v>10.7</v>
      </c>
      <c r="AD60" s="2083"/>
      <c r="AE60" s="2084"/>
      <c r="AF60" s="2082">
        <v>10.7</v>
      </c>
      <c r="AG60" s="2083"/>
      <c r="AH60" s="2084"/>
      <c r="AI60" s="2082">
        <v>10.7</v>
      </c>
      <c r="AJ60" s="2083"/>
      <c r="AK60" s="2084"/>
      <c r="AL60" s="2082">
        <v>10.7</v>
      </c>
      <c r="AM60" s="2083"/>
      <c r="AN60" s="2084"/>
      <c r="AO60" s="2082">
        <v>10.7</v>
      </c>
      <c r="AP60" s="2083"/>
      <c r="AQ60" s="2084"/>
      <c r="AR60" s="230"/>
      <c r="AS60" s="230"/>
      <c r="AX60" s="381"/>
      <c r="AY60" s="381"/>
      <c r="AZ60" s="382">
        <v>0</v>
      </c>
      <c r="BB60" s="381"/>
      <c r="BC60" s="381"/>
      <c r="BN60" s="381"/>
      <c r="BO60" s="381"/>
      <c r="BP60" s="382">
        <v>0</v>
      </c>
      <c r="BR60" s="381"/>
      <c r="BS60" s="381"/>
    </row>
    <row r="61" spans="1:78" ht="17.25" thickBot="1" x14ac:dyDescent="0.3">
      <c r="A61" s="2059"/>
      <c r="B61" s="2060"/>
      <c r="C61" s="2063"/>
      <c r="D61" s="2072" t="s">
        <v>83</v>
      </c>
      <c r="E61" s="2073"/>
      <c r="F61" s="2073"/>
      <c r="G61" s="2074"/>
      <c r="H61" s="2085" t="s">
        <v>84</v>
      </c>
      <c r="I61" s="2086"/>
      <c r="J61" s="2087"/>
      <c r="K61" s="2085" t="s">
        <v>84</v>
      </c>
      <c r="L61" s="2086"/>
      <c r="M61" s="2087"/>
      <c r="N61" s="2085" t="s">
        <v>84</v>
      </c>
      <c r="O61" s="2086"/>
      <c r="P61" s="2087"/>
      <c r="Q61" s="2085" t="s">
        <v>84</v>
      </c>
      <c r="R61" s="2086"/>
      <c r="S61" s="2087"/>
      <c r="T61" s="2085" t="s">
        <v>84</v>
      </c>
      <c r="U61" s="2086"/>
      <c r="V61" s="2087"/>
      <c r="W61" s="2085" t="s">
        <v>84</v>
      </c>
      <c r="X61" s="2086"/>
      <c r="Y61" s="2087"/>
      <c r="Z61" s="2085" t="s">
        <v>84</v>
      </c>
      <c r="AA61" s="2086"/>
      <c r="AB61" s="2087"/>
      <c r="AC61" s="2085" t="s">
        <v>84</v>
      </c>
      <c r="AD61" s="2086"/>
      <c r="AE61" s="2087"/>
      <c r="AF61" s="2085" t="s">
        <v>84</v>
      </c>
      <c r="AG61" s="2086"/>
      <c r="AH61" s="2087"/>
      <c r="AI61" s="2085" t="s">
        <v>84</v>
      </c>
      <c r="AJ61" s="2086"/>
      <c r="AK61" s="2087"/>
      <c r="AL61" s="2085" t="s">
        <v>84</v>
      </c>
      <c r="AM61" s="2086"/>
      <c r="AN61" s="2087"/>
      <c r="AO61" s="2134" t="s">
        <v>84</v>
      </c>
      <c r="AP61" s="2076"/>
      <c r="AQ61" s="2077"/>
      <c r="AR61" s="230"/>
      <c r="AS61" s="230"/>
      <c r="AX61" s="381"/>
      <c r="AY61" s="381"/>
      <c r="AZ61" s="382">
        <v>0</v>
      </c>
      <c r="BB61" s="381"/>
      <c r="BC61" s="381"/>
      <c r="BN61" s="381"/>
      <c r="BO61" s="381"/>
      <c r="BP61" s="382">
        <v>0</v>
      </c>
      <c r="BR61" s="381"/>
      <c r="BS61" s="381"/>
    </row>
    <row r="62" spans="1:78" ht="16.5" x14ac:dyDescent="0.25">
      <c r="A62" s="2055" t="s">
        <v>85</v>
      </c>
      <c r="B62" s="2056"/>
      <c r="C62" s="2061">
        <v>25</v>
      </c>
      <c r="D62" s="2064" t="s">
        <v>13</v>
      </c>
      <c r="E62" s="2065"/>
      <c r="F62" s="2068" t="s">
        <v>81</v>
      </c>
      <c r="G62" s="2088"/>
      <c r="H62" s="246">
        <f>SQRT(I62^2+J62^2)*1000/(1.73*H65)</f>
        <v>0</v>
      </c>
      <c r="I62" s="247">
        <v>0</v>
      </c>
      <c r="J62" s="248">
        <v>0</v>
      </c>
      <c r="K62" s="246">
        <f>SQRT(L62^2+M62^2)*1000/(1.73*K65)</f>
        <v>0</v>
      </c>
      <c r="L62" s="247">
        <v>0</v>
      </c>
      <c r="M62" s="248">
        <v>0</v>
      </c>
      <c r="N62" s="246">
        <f>SQRT(O62^2+P62^2)*1000/(1.73*N65)</f>
        <v>0</v>
      </c>
      <c r="O62" s="247">
        <v>0</v>
      </c>
      <c r="P62" s="248">
        <v>0</v>
      </c>
      <c r="Q62" s="246">
        <f>SQRT(R62^2+S62^2)*1000/(1.73*Q65)</f>
        <v>0</v>
      </c>
      <c r="R62" s="247">
        <v>0</v>
      </c>
      <c r="S62" s="248">
        <v>0</v>
      </c>
      <c r="T62" s="246">
        <f>SQRT(U62^2+V62^2)*1000/(1.73*T65)</f>
        <v>0</v>
      </c>
      <c r="U62" s="247">
        <v>0</v>
      </c>
      <c r="V62" s="248">
        <v>0</v>
      </c>
      <c r="W62" s="246">
        <f>SQRT(X62^2+Y62^2)*1000/(1.73*W65)</f>
        <v>0</v>
      </c>
      <c r="X62" s="247">
        <v>0</v>
      </c>
      <c r="Y62" s="248">
        <v>0</v>
      </c>
      <c r="Z62" s="246">
        <f>SQRT(AA62^2+AB62^2)*1000/(1.73*Z65)</f>
        <v>0</v>
      </c>
      <c r="AA62" s="247">
        <v>0</v>
      </c>
      <c r="AB62" s="248">
        <v>0</v>
      </c>
      <c r="AC62" s="246">
        <f>SQRT(AD62^2+AE62^2)*1000/(1.73*AC65)</f>
        <v>0</v>
      </c>
      <c r="AD62" s="247">
        <v>0</v>
      </c>
      <c r="AE62" s="248">
        <v>0</v>
      </c>
      <c r="AF62" s="246">
        <f>SQRT(AG62^2+AH62^2)*1000/(1.73*AF65)</f>
        <v>0</v>
      </c>
      <c r="AG62" s="247">
        <v>0</v>
      </c>
      <c r="AH62" s="248">
        <v>0</v>
      </c>
      <c r="AI62" s="246">
        <f>SQRT(AJ62^2+AK62^2)*1000/(1.73*AI65)</f>
        <v>0</v>
      </c>
      <c r="AJ62" s="247">
        <v>0</v>
      </c>
      <c r="AK62" s="248">
        <v>0</v>
      </c>
      <c r="AL62" s="246">
        <f>SQRT(AM62^2+AN62^2)*1000/(1.73*AL65)</f>
        <v>0</v>
      </c>
      <c r="AM62" s="247">
        <v>0</v>
      </c>
      <c r="AN62" s="248">
        <v>0</v>
      </c>
      <c r="AO62" s="246">
        <f>SQRT(AP62^2+AQ62^2)*1000/(1.73*AO65)</f>
        <v>0</v>
      </c>
      <c r="AP62" s="247">
        <v>0</v>
      </c>
      <c r="AQ62" s="248">
        <v>0</v>
      </c>
      <c r="AR62" s="249"/>
      <c r="AS62" s="249"/>
      <c r="AX62" s="381"/>
      <c r="AY62" s="381"/>
      <c r="AZ62" s="382">
        <v>0</v>
      </c>
      <c r="BB62" s="381"/>
      <c r="BC62" s="381"/>
    </row>
    <row r="63" spans="1:78" ht="17.25" thickBot="1" x14ac:dyDescent="0.3">
      <c r="A63" s="2057"/>
      <c r="B63" s="2058"/>
      <c r="C63" s="2062"/>
      <c r="D63" s="2066"/>
      <c r="E63" s="2067"/>
      <c r="F63" s="2070" t="s">
        <v>82</v>
      </c>
      <c r="G63" s="2089"/>
      <c r="H63" s="250">
        <f>SQRT(I63^2+J63^2)*1000/(1.73*H66)</f>
        <v>130.06436391027742</v>
      </c>
      <c r="I63" s="251">
        <f>I83+I81</f>
        <v>2.3210000000000002</v>
      </c>
      <c r="J63" s="252">
        <f>J83+J81</f>
        <v>0.64</v>
      </c>
      <c r="K63" s="250">
        <f>SQRT(L63^2+M63^2)*1000/(1.73*K66)</f>
        <v>140.81156452426865</v>
      </c>
      <c r="L63" s="251">
        <f>L83+L81</f>
        <v>2.4509999999999996</v>
      </c>
      <c r="M63" s="252">
        <f>M83+M81</f>
        <v>0.88700000000000001</v>
      </c>
      <c r="N63" s="250">
        <f>SQRT(O63^2+P63^2)*1000/(1.73*N66)</f>
        <v>137.79827135805655</v>
      </c>
      <c r="O63" s="251">
        <f>O83+O81</f>
        <v>2.4130000000000003</v>
      </c>
      <c r="P63" s="252">
        <f>P83+P81</f>
        <v>0.82699999999999996</v>
      </c>
      <c r="Q63" s="250">
        <f>SQRT(R63^2+S63^2)*1000/(1.73*Q66)</f>
        <v>139.53618477024668</v>
      </c>
      <c r="R63" s="251">
        <f>R83+R81</f>
        <v>2.4630000000000001</v>
      </c>
      <c r="S63" s="252">
        <f>S83+S81</f>
        <v>0.77800000000000002</v>
      </c>
      <c r="T63" s="250">
        <f>SQRT(U63^2+V63^2)*1000/(1.73*T66)</f>
        <v>151.45108384192147</v>
      </c>
      <c r="U63" s="251">
        <f>U83+U81</f>
        <v>2.6429999999999998</v>
      </c>
      <c r="V63" s="252">
        <f>V83+V81</f>
        <v>0.93500000000000005</v>
      </c>
      <c r="W63" s="250">
        <f>SQRT(X63^2+Y63^2)*1000/(1.73*W66)</f>
        <v>139.08507660433415</v>
      </c>
      <c r="X63" s="251">
        <f>X83+X81</f>
        <v>2.484</v>
      </c>
      <c r="Y63" s="252">
        <f>Y83+Y81</f>
        <v>0.67700000000000005</v>
      </c>
      <c r="Z63" s="250">
        <f>SQRT(AA63^2+AB63^2)*1000/(1.73*Z66)</f>
        <v>137.967077583503</v>
      </c>
      <c r="AA63" s="251">
        <f>AA83+AA81</f>
        <v>2.4649999999999999</v>
      </c>
      <c r="AB63" s="252">
        <f>AB83+AB81</f>
        <v>0.66799999999999993</v>
      </c>
      <c r="AC63" s="250">
        <f>SQRT(AD63^2+AE63^2)*1000/(1.73*AC66)</f>
        <v>141.92352442317372</v>
      </c>
      <c r="AD63" s="251">
        <f>AD83+AD81</f>
        <v>2.5329999999999999</v>
      </c>
      <c r="AE63" s="252">
        <f>AE83+AE81</f>
        <v>0.69700000000000006</v>
      </c>
      <c r="AF63" s="250">
        <f>SQRT(AG63^2+AH63^2)*1000/(1.73*AF66)</f>
        <v>139.1904533655395</v>
      </c>
      <c r="AG63" s="251">
        <f>AG83+AG81</f>
        <v>2.4829999999999997</v>
      </c>
      <c r="AH63" s="252">
        <f>AH83+AH81</f>
        <v>0.68799999999999994</v>
      </c>
      <c r="AI63" s="250">
        <f>SQRT(AJ63^2+AK63^2)*1000/(1.73*AI66)</f>
        <v>136.51846953959711</v>
      </c>
      <c r="AJ63" s="251">
        <f>AJ83+AJ81</f>
        <v>2.4350000000000001</v>
      </c>
      <c r="AK63" s="252">
        <f>AK83+AK81</f>
        <v>0.67599999999999993</v>
      </c>
      <c r="AL63" s="250">
        <f>SQRT(AM63^2+AN63^2)*1000/(1.73*AL66)</f>
        <v>134.6309159178781</v>
      </c>
      <c r="AM63" s="251">
        <f>AM83+AM81</f>
        <v>2.399</v>
      </c>
      <c r="AN63" s="252">
        <f>AN83+AN81</f>
        <v>0.67500000000000004</v>
      </c>
      <c r="AO63" s="250">
        <f>SQRT(AP63^2+AQ63^2)*1000/(1.73*AO66)</f>
        <v>135.72141694559974</v>
      </c>
      <c r="AP63" s="251">
        <f>AP83+AP81</f>
        <v>2.4180000000000001</v>
      </c>
      <c r="AQ63" s="252">
        <f>AQ83+AQ81</f>
        <v>0.68199999999999994</v>
      </c>
      <c r="AR63" s="249"/>
      <c r="AS63" s="249"/>
      <c r="AX63" s="381"/>
      <c r="AY63" s="381"/>
      <c r="AZ63" s="382">
        <v>0</v>
      </c>
      <c r="BB63" s="381"/>
      <c r="BC63" s="381"/>
    </row>
    <row r="64" spans="1:78" ht="17.25" thickBot="1" x14ac:dyDescent="0.3">
      <c r="A64" s="2057"/>
      <c r="B64" s="2058"/>
      <c r="C64" s="2062"/>
      <c r="D64" s="2072" t="s">
        <v>39</v>
      </c>
      <c r="E64" s="2073"/>
      <c r="F64" s="2073"/>
      <c r="G64" s="2074"/>
      <c r="H64" s="2075">
        <v>7</v>
      </c>
      <c r="I64" s="2076"/>
      <c r="J64" s="2077"/>
      <c r="K64" s="2075">
        <v>7</v>
      </c>
      <c r="L64" s="2076"/>
      <c r="M64" s="2077"/>
      <c r="N64" s="2075">
        <v>7</v>
      </c>
      <c r="O64" s="2076"/>
      <c r="P64" s="2077"/>
      <c r="Q64" s="2075">
        <v>7</v>
      </c>
      <c r="R64" s="2076"/>
      <c r="S64" s="2077"/>
      <c r="T64" s="2075">
        <v>7</v>
      </c>
      <c r="U64" s="2076"/>
      <c r="V64" s="2077"/>
      <c r="W64" s="2075">
        <v>7</v>
      </c>
      <c r="X64" s="2076"/>
      <c r="Y64" s="2077"/>
      <c r="Z64" s="2075">
        <v>7</v>
      </c>
      <c r="AA64" s="2076"/>
      <c r="AB64" s="2077"/>
      <c r="AC64" s="2075">
        <v>7</v>
      </c>
      <c r="AD64" s="2076"/>
      <c r="AE64" s="2077"/>
      <c r="AF64" s="2075">
        <v>7</v>
      </c>
      <c r="AG64" s="2076"/>
      <c r="AH64" s="2077"/>
      <c r="AI64" s="2075">
        <v>7</v>
      </c>
      <c r="AJ64" s="2076"/>
      <c r="AK64" s="2077"/>
      <c r="AL64" s="2075">
        <v>7</v>
      </c>
      <c r="AM64" s="2076"/>
      <c r="AN64" s="2077"/>
      <c r="AO64" s="2075">
        <v>7</v>
      </c>
      <c r="AP64" s="2076"/>
      <c r="AQ64" s="2077"/>
      <c r="AR64" s="230"/>
      <c r="AS64" s="230"/>
      <c r="AX64" s="381"/>
      <c r="AY64" s="381"/>
      <c r="AZ64" s="382">
        <v>0</v>
      </c>
      <c r="BB64" s="381"/>
      <c r="BC64" s="381"/>
    </row>
    <row r="65" spans="1:55" ht="16.5" x14ac:dyDescent="0.25">
      <c r="A65" s="2057"/>
      <c r="B65" s="2058"/>
      <c r="C65" s="2062"/>
      <c r="D65" s="2078" t="s">
        <v>14</v>
      </c>
      <c r="E65" s="2056"/>
      <c r="F65" s="2068" t="s">
        <v>81</v>
      </c>
      <c r="G65" s="2069"/>
      <c r="H65" s="2079">
        <v>124</v>
      </c>
      <c r="I65" s="2080"/>
      <c r="J65" s="2081"/>
      <c r="K65" s="2079">
        <v>124</v>
      </c>
      <c r="L65" s="2080"/>
      <c r="M65" s="2081"/>
      <c r="N65" s="2079">
        <v>124</v>
      </c>
      <c r="O65" s="2080"/>
      <c r="P65" s="2081"/>
      <c r="Q65" s="2079">
        <v>124</v>
      </c>
      <c r="R65" s="2080"/>
      <c r="S65" s="2081"/>
      <c r="T65" s="2079">
        <v>124</v>
      </c>
      <c r="U65" s="2080"/>
      <c r="V65" s="2081"/>
      <c r="W65" s="2079">
        <v>124</v>
      </c>
      <c r="X65" s="2080"/>
      <c r="Y65" s="2081"/>
      <c r="Z65" s="2079">
        <v>124</v>
      </c>
      <c r="AA65" s="2080"/>
      <c r="AB65" s="2081"/>
      <c r="AC65" s="2079">
        <v>124</v>
      </c>
      <c r="AD65" s="2080"/>
      <c r="AE65" s="2081"/>
      <c r="AF65" s="2079">
        <v>124</v>
      </c>
      <c r="AG65" s="2080"/>
      <c r="AH65" s="2081"/>
      <c r="AI65" s="2079">
        <v>124</v>
      </c>
      <c r="AJ65" s="2080"/>
      <c r="AK65" s="2081"/>
      <c r="AL65" s="2079">
        <v>124</v>
      </c>
      <c r="AM65" s="2080"/>
      <c r="AN65" s="2081"/>
      <c r="AO65" s="2079">
        <v>124</v>
      </c>
      <c r="AP65" s="2080"/>
      <c r="AQ65" s="2081"/>
      <c r="AR65" s="230"/>
      <c r="AS65" s="230"/>
      <c r="AX65" s="381"/>
      <c r="AY65" s="381"/>
      <c r="AZ65" s="382">
        <v>0</v>
      </c>
      <c r="BB65" s="381"/>
      <c r="BC65" s="381"/>
    </row>
    <row r="66" spans="1:55" ht="17.25" thickBot="1" x14ac:dyDescent="0.3">
      <c r="A66" s="2057"/>
      <c r="B66" s="2058"/>
      <c r="C66" s="2062"/>
      <c r="D66" s="2059"/>
      <c r="E66" s="2060"/>
      <c r="F66" s="2070" t="s">
        <v>82</v>
      </c>
      <c r="G66" s="2071"/>
      <c r="H66" s="2082">
        <v>10.7</v>
      </c>
      <c r="I66" s="2083"/>
      <c r="J66" s="2084"/>
      <c r="K66" s="2082">
        <v>10.7</v>
      </c>
      <c r="L66" s="2083"/>
      <c r="M66" s="2084"/>
      <c r="N66" s="2082">
        <v>10.7</v>
      </c>
      <c r="O66" s="2083"/>
      <c r="P66" s="2084"/>
      <c r="Q66" s="2082">
        <v>10.7</v>
      </c>
      <c r="R66" s="2083"/>
      <c r="S66" s="2084"/>
      <c r="T66" s="2082">
        <v>10.7</v>
      </c>
      <c r="U66" s="2083"/>
      <c r="V66" s="2084"/>
      <c r="W66" s="2082">
        <v>10.7</v>
      </c>
      <c r="X66" s="2083"/>
      <c r="Y66" s="2084"/>
      <c r="Z66" s="2082">
        <v>10.7</v>
      </c>
      <c r="AA66" s="2083"/>
      <c r="AB66" s="2084"/>
      <c r="AC66" s="2082">
        <v>10.7</v>
      </c>
      <c r="AD66" s="2083"/>
      <c r="AE66" s="2084"/>
      <c r="AF66" s="2082">
        <v>10.7</v>
      </c>
      <c r="AG66" s="2083"/>
      <c r="AH66" s="2084"/>
      <c r="AI66" s="2082">
        <v>10.7</v>
      </c>
      <c r="AJ66" s="2083"/>
      <c r="AK66" s="2084"/>
      <c r="AL66" s="2082">
        <v>10.7</v>
      </c>
      <c r="AM66" s="2083"/>
      <c r="AN66" s="2084"/>
      <c r="AO66" s="2082">
        <v>10.7</v>
      </c>
      <c r="AP66" s="2083"/>
      <c r="AQ66" s="2084"/>
      <c r="AR66" s="230"/>
      <c r="AS66" s="230"/>
      <c r="AX66" s="381"/>
      <c r="AY66" s="381"/>
      <c r="AZ66" s="382">
        <v>0</v>
      </c>
      <c r="BB66" s="381"/>
      <c r="BC66" s="381"/>
    </row>
    <row r="67" spans="1:55" ht="17.25" thickBot="1" x14ac:dyDescent="0.3">
      <c r="A67" s="2057"/>
      <c r="B67" s="2058"/>
      <c r="C67" s="2062"/>
      <c r="D67" s="2072" t="s">
        <v>83</v>
      </c>
      <c r="E67" s="2073"/>
      <c r="F67" s="2073"/>
      <c r="G67" s="2074"/>
      <c r="H67" s="2085" t="s">
        <v>84</v>
      </c>
      <c r="I67" s="2086"/>
      <c r="J67" s="2087"/>
      <c r="K67" s="2085" t="s">
        <v>84</v>
      </c>
      <c r="L67" s="2086"/>
      <c r="M67" s="2087"/>
      <c r="N67" s="2085" t="s">
        <v>84</v>
      </c>
      <c r="O67" s="2086"/>
      <c r="P67" s="2087"/>
      <c r="Q67" s="2085" t="s">
        <v>84</v>
      </c>
      <c r="R67" s="2086"/>
      <c r="S67" s="2087"/>
      <c r="T67" s="2085" t="s">
        <v>84</v>
      </c>
      <c r="U67" s="2086"/>
      <c r="V67" s="2087"/>
      <c r="W67" s="2085" t="s">
        <v>84</v>
      </c>
      <c r="X67" s="2086"/>
      <c r="Y67" s="2087"/>
      <c r="Z67" s="2085" t="s">
        <v>84</v>
      </c>
      <c r="AA67" s="2086"/>
      <c r="AB67" s="2087"/>
      <c r="AC67" s="2085" t="s">
        <v>84</v>
      </c>
      <c r="AD67" s="2086"/>
      <c r="AE67" s="2087"/>
      <c r="AF67" s="2085" t="s">
        <v>84</v>
      </c>
      <c r="AG67" s="2086"/>
      <c r="AH67" s="2087"/>
      <c r="AI67" s="2085" t="s">
        <v>84</v>
      </c>
      <c r="AJ67" s="2086"/>
      <c r="AK67" s="2087"/>
      <c r="AL67" s="2085" t="s">
        <v>84</v>
      </c>
      <c r="AM67" s="2086"/>
      <c r="AN67" s="2087"/>
      <c r="AO67" s="2085" t="s">
        <v>84</v>
      </c>
      <c r="AP67" s="2086"/>
      <c r="AQ67" s="2087"/>
      <c r="AR67" s="230"/>
      <c r="AS67" s="230"/>
      <c r="AX67" s="381"/>
      <c r="AY67" s="381"/>
      <c r="AZ67" s="382">
        <v>0</v>
      </c>
      <c r="BB67" s="381"/>
      <c r="BC67" s="381"/>
    </row>
    <row r="68" spans="1:55" ht="16.5" x14ac:dyDescent="0.25">
      <c r="A68" s="2078" t="s">
        <v>86</v>
      </c>
      <c r="B68" s="2090"/>
      <c r="C68" s="2056"/>
      <c r="D68" s="2092"/>
      <c r="E68" s="2093"/>
      <c r="F68" s="2068" t="s">
        <v>81</v>
      </c>
      <c r="G68" s="2069"/>
      <c r="H68" s="246">
        <f>H56+H62</f>
        <v>0</v>
      </c>
      <c r="I68" s="247">
        <f t="shared" ref="I68:AM69" si="5">I56+I62</f>
        <v>0</v>
      </c>
      <c r="J68" s="248">
        <f t="shared" si="5"/>
        <v>0</v>
      </c>
      <c r="K68" s="246">
        <f t="shared" si="5"/>
        <v>0</v>
      </c>
      <c r="L68" s="247">
        <f t="shared" si="5"/>
        <v>0</v>
      </c>
      <c r="M68" s="248">
        <f t="shared" si="5"/>
        <v>0</v>
      </c>
      <c r="N68" s="246">
        <f t="shared" si="5"/>
        <v>0</v>
      </c>
      <c r="O68" s="247">
        <f t="shared" si="5"/>
        <v>0</v>
      </c>
      <c r="P68" s="248">
        <f t="shared" si="5"/>
        <v>0</v>
      </c>
      <c r="Q68" s="246">
        <f t="shared" si="5"/>
        <v>0</v>
      </c>
      <c r="R68" s="247">
        <f t="shared" si="5"/>
        <v>0</v>
      </c>
      <c r="S68" s="248">
        <f t="shared" si="5"/>
        <v>0</v>
      </c>
      <c r="T68" s="246">
        <f t="shared" si="5"/>
        <v>0</v>
      </c>
      <c r="U68" s="247">
        <f t="shared" si="5"/>
        <v>0</v>
      </c>
      <c r="V68" s="248">
        <f t="shared" si="5"/>
        <v>0</v>
      </c>
      <c r="W68" s="246">
        <f t="shared" si="5"/>
        <v>0</v>
      </c>
      <c r="X68" s="247">
        <f t="shared" si="5"/>
        <v>0</v>
      </c>
      <c r="Y68" s="248">
        <f t="shared" si="5"/>
        <v>0</v>
      </c>
      <c r="Z68" s="246">
        <f t="shared" si="5"/>
        <v>0</v>
      </c>
      <c r="AA68" s="247">
        <f t="shared" si="5"/>
        <v>0</v>
      </c>
      <c r="AB68" s="248">
        <f t="shared" si="5"/>
        <v>0</v>
      </c>
      <c r="AC68" s="246">
        <f t="shared" si="5"/>
        <v>0</v>
      </c>
      <c r="AD68" s="247">
        <f t="shared" si="5"/>
        <v>0</v>
      </c>
      <c r="AE68" s="248">
        <f t="shared" si="5"/>
        <v>0</v>
      </c>
      <c r="AF68" s="246">
        <f t="shared" si="5"/>
        <v>0</v>
      </c>
      <c r="AG68" s="247">
        <f t="shared" si="5"/>
        <v>0</v>
      </c>
      <c r="AH68" s="248">
        <f t="shared" si="5"/>
        <v>0</v>
      </c>
      <c r="AI68" s="246">
        <f t="shared" si="5"/>
        <v>0</v>
      </c>
      <c r="AJ68" s="247">
        <f t="shared" si="5"/>
        <v>0</v>
      </c>
      <c r="AK68" s="248">
        <f t="shared" si="5"/>
        <v>0</v>
      </c>
      <c r="AL68" s="246">
        <f t="shared" si="5"/>
        <v>0</v>
      </c>
      <c r="AM68" s="247">
        <f t="shared" si="5"/>
        <v>0</v>
      </c>
      <c r="AN68" s="248">
        <f>AN56+AN62</f>
        <v>0</v>
      </c>
      <c r="AO68" s="246">
        <f>AO56+AO62</f>
        <v>0</v>
      </c>
      <c r="AP68" s="247">
        <f>AP56+AP62</f>
        <v>0</v>
      </c>
      <c r="AQ68" s="248">
        <f>AQ56+AQ62</f>
        <v>0</v>
      </c>
      <c r="AR68" s="230"/>
      <c r="AS68" s="230"/>
    </row>
    <row r="69" spans="1:55" ht="17.25" thickBot="1" x14ac:dyDescent="0.3">
      <c r="A69" s="2059"/>
      <c r="B69" s="2091"/>
      <c r="C69" s="2060"/>
      <c r="D69" s="2094"/>
      <c r="E69" s="2095"/>
      <c r="F69" s="2070" t="s">
        <v>82</v>
      </c>
      <c r="G69" s="2071"/>
      <c r="H69" s="250">
        <f t="shared" ref="H69:AQ69" si="6">H57+H63</f>
        <v>186.65297683101988</v>
      </c>
      <c r="I69" s="251">
        <f>I57+I63</f>
        <v>3.3370000000000002</v>
      </c>
      <c r="J69" s="252">
        <f t="shared" si="5"/>
        <v>0.89500000000000002</v>
      </c>
      <c r="K69" s="250">
        <f t="shared" si="6"/>
        <v>203.82598996424917</v>
      </c>
      <c r="L69" s="251">
        <f t="shared" si="6"/>
        <v>3.5459999999999994</v>
      </c>
      <c r="M69" s="252">
        <f t="shared" si="5"/>
        <v>1.2890000000000001</v>
      </c>
      <c r="N69" s="250">
        <f t="shared" si="6"/>
        <v>198.64922499518903</v>
      </c>
      <c r="O69" s="251">
        <f t="shared" si="6"/>
        <v>3.4830000000000005</v>
      </c>
      <c r="P69" s="252">
        <f t="shared" si="5"/>
        <v>1.1789999999999998</v>
      </c>
      <c r="Q69" s="250">
        <f t="shared" si="6"/>
        <v>203.67280177275384</v>
      </c>
      <c r="R69" s="251">
        <f t="shared" si="6"/>
        <v>3.5840000000000001</v>
      </c>
      <c r="S69" s="252">
        <f t="shared" si="5"/>
        <v>1.169</v>
      </c>
      <c r="T69" s="250">
        <f t="shared" si="6"/>
        <v>217.08957748886155</v>
      </c>
      <c r="U69" s="251">
        <f t="shared" si="6"/>
        <v>3.7909999999999995</v>
      </c>
      <c r="V69" s="252">
        <f t="shared" si="5"/>
        <v>1.3330000000000002</v>
      </c>
      <c r="W69" s="250">
        <f t="shared" si="6"/>
        <v>205.46932828432756</v>
      </c>
      <c r="X69" s="251">
        <f t="shared" si="6"/>
        <v>3.641</v>
      </c>
      <c r="Y69" s="252">
        <f t="shared" si="5"/>
        <v>1.0910000000000002</v>
      </c>
      <c r="Z69" s="250">
        <f t="shared" si="6"/>
        <v>205.16578051878884</v>
      </c>
      <c r="AA69" s="251">
        <f t="shared" si="6"/>
        <v>3.6379999999999999</v>
      </c>
      <c r="AB69" s="252">
        <f t="shared" si="5"/>
        <v>1.0819999999999999</v>
      </c>
      <c r="AC69" s="250">
        <f t="shared" si="6"/>
        <v>204.19626339237811</v>
      </c>
      <c r="AD69" s="251">
        <f t="shared" si="6"/>
        <v>3.641</v>
      </c>
      <c r="AE69" s="252">
        <f t="shared" si="5"/>
        <v>1.0150000000000001</v>
      </c>
      <c r="AF69" s="250">
        <f t="shared" si="6"/>
        <v>199.91084160771521</v>
      </c>
      <c r="AG69" s="251">
        <f t="shared" si="6"/>
        <v>3.5699999999999994</v>
      </c>
      <c r="AH69" s="252">
        <f t="shared" si="5"/>
        <v>0.97399999999999998</v>
      </c>
      <c r="AI69" s="250">
        <f t="shared" si="6"/>
        <v>196.0423298395354</v>
      </c>
      <c r="AJ69" s="251">
        <f t="shared" si="6"/>
        <v>3.5030000000000001</v>
      </c>
      <c r="AK69" s="252">
        <f t="shared" si="5"/>
        <v>0.94699999999999995</v>
      </c>
      <c r="AL69" s="250">
        <f t="shared" si="6"/>
        <v>193.16561844618516</v>
      </c>
      <c r="AM69" s="251">
        <f t="shared" si="6"/>
        <v>3.4459999999999997</v>
      </c>
      <c r="AN69" s="252">
        <f t="shared" si="6"/>
        <v>0.95400000000000007</v>
      </c>
      <c r="AO69" s="250">
        <f t="shared" si="6"/>
        <v>190.88487358171636</v>
      </c>
      <c r="AP69" s="251">
        <f t="shared" si="6"/>
        <v>3.4060000000000001</v>
      </c>
      <c r="AQ69" s="252">
        <f t="shared" si="6"/>
        <v>0.94</v>
      </c>
      <c r="AR69" s="230"/>
      <c r="AS69" s="230"/>
    </row>
    <row r="70" spans="1:55" ht="16.5" x14ac:dyDescent="0.25">
      <c r="A70" s="254"/>
      <c r="B70" s="383"/>
      <c r="C70" s="256"/>
      <c r="D70" s="235"/>
      <c r="E70" s="2135"/>
      <c r="F70" s="2135"/>
      <c r="G70" s="257"/>
      <c r="H70" s="384"/>
      <c r="I70" s="231"/>
      <c r="J70" s="231"/>
      <c r="K70" s="231"/>
      <c r="L70" s="231"/>
      <c r="M70" s="231"/>
      <c r="N70" s="231"/>
      <c r="O70" s="231"/>
      <c r="P70" s="231"/>
      <c r="Q70" s="231"/>
      <c r="R70" s="231"/>
      <c r="S70" s="231"/>
      <c r="T70" s="231"/>
      <c r="U70" s="231"/>
      <c r="V70" s="231"/>
      <c r="W70" s="231"/>
      <c r="X70" s="231"/>
      <c r="Y70" s="231"/>
      <c r="Z70" s="231"/>
      <c r="AA70" s="231"/>
      <c r="AB70" s="231"/>
      <c r="AC70" s="231"/>
      <c r="AD70" s="231"/>
      <c r="AE70" s="231"/>
      <c r="AF70" s="231"/>
      <c r="AG70" s="231"/>
      <c r="AH70" s="231"/>
      <c r="AI70" s="231"/>
      <c r="AJ70" s="231"/>
      <c r="AK70" s="231"/>
      <c r="AL70" s="231"/>
      <c r="AM70" s="231"/>
      <c r="AN70" s="231"/>
      <c r="AO70" s="231"/>
      <c r="AP70" s="231"/>
      <c r="AQ70" s="257"/>
      <c r="AR70" s="230"/>
      <c r="AS70" s="230"/>
    </row>
    <row r="71" spans="1:55" ht="17.25" thickBot="1" x14ac:dyDescent="0.3">
      <c r="A71" s="258"/>
      <c r="B71" s="259"/>
      <c r="C71" s="260"/>
      <c r="D71" s="261"/>
      <c r="E71" s="2103"/>
      <c r="F71" s="2103"/>
      <c r="G71" s="262"/>
      <c r="H71" s="385"/>
      <c r="I71" s="263"/>
      <c r="J71" s="263"/>
      <c r="K71" s="263"/>
      <c r="L71" s="263"/>
      <c r="M71" s="263"/>
      <c r="N71" s="263"/>
      <c r="O71" s="263"/>
      <c r="P71" s="263"/>
      <c r="Q71" s="263"/>
      <c r="R71" s="263"/>
      <c r="S71" s="263"/>
      <c r="T71" s="263"/>
      <c r="U71" s="263"/>
      <c r="V71" s="263"/>
      <c r="W71" s="263"/>
      <c r="X71" s="263"/>
      <c r="Y71" s="263"/>
      <c r="Z71" s="263"/>
      <c r="AA71" s="263"/>
      <c r="AB71" s="263"/>
      <c r="AC71" s="263"/>
      <c r="AD71" s="263"/>
      <c r="AE71" s="263"/>
      <c r="AF71" s="263"/>
      <c r="AG71" s="263"/>
      <c r="AH71" s="263"/>
      <c r="AI71" s="263"/>
      <c r="AJ71" s="263"/>
      <c r="AK71" s="263"/>
      <c r="AL71" s="263"/>
      <c r="AM71" s="263"/>
      <c r="AN71" s="263"/>
      <c r="AO71" s="263"/>
      <c r="AP71" s="263"/>
      <c r="AQ71" s="262"/>
      <c r="AR71" s="230"/>
      <c r="AS71" s="230"/>
    </row>
    <row r="72" spans="1:55" ht="17.25" thickBot="1" x14ac:dyDescent="0.3">
      <c r="A72" s="264"/>
      <c r="B72" s="265"/>
      <c r="C72" s="265"/>
      <c r="D72" s="266"/>
      <c r="E72" s="267"/>
      <c r="F72" s="266"/>
      <c r="G72" s="267"/>
      <c r="H72" s="268"/>
      <c r="I72" s="266"/>
      <c r="J72" s="266"/>
      <c r="K72" s="268"/>
      <c r="L72" s="266"/>
      <c r="M72" s="266"/>
      <c r="N72" s="268"/>
      <c r="O72" s="266"/>
      <c r="P72" s="266"/>
      <c r="Q72" s="268"/>
      <c r="R72" s="266"/>
      <c r="S72" s="266"/>
      <c r="T72" s="268"/>
      <c r="U72" s="266"/>
      <c r="V72" s="266"/>
      <c r="W72" s="268"/>
      <c r="X72" s="266"/>
      <c r="Y72" s="266"/>
      <c r="Z72" s="268"/>
      <c r="AA72" s="266"/>
      <c r="AB72" s="266"/>
      <c r="AC72" s="268"/>
      <c r="AD72" s="266"/>
      <c r="AE72" s="266"/>
      <c r="AF72" s="268"/>
      <c r="AG72" s="266"/>
      <c r="AH72" s="266"/>
      <c r="AI72" s="268"/>
      <c r="AJ72" s="266"/>
      <c r="AK72" s="266"/>
      <c r="AL72" s="268"/>
      <c r="AM72" s="266"/>
      <c r="AN72" s="266"/>
      <c r="AO72" s="268"/>
      <c r="AP72" s="266"/>
      <c r="AQ72" s="266"/>
      <c r="AR72" s="230"/>
      <c r="AS72" s="230"/>
    </row>
    <row r="73" spans="1:55" ht="16.5" x14ac:dyDescent="0.25">
      <c r="A73" s="2104" t="s">
        <v>40</v>
      </c>
      <c r="B73" s="2105"/>
      <c r="C73" s="2105"/>
      <c r="D73" s="2106" t="s">
        <v>5</v>
      </c>
      <c r="E73" s="2107"/>
      <c r="F73" s="2107" t="s">
        <v>6</v>
      </c>
      <c r="G73" s="2108"/>
      <c r="H73" s="2096" t="s">
        <v>108</v>
      </c>
      <c r="I73" s="2097"/>
      <c r="J73" s="2098"/>
      <c r="K73" s="2096" t="s">
        <v>109</v>
      </c>
      <c r="L73" s="2097"/>
      <c r="M73" s="2098"/>
      <c r="N73" s="2096" t="s">
        <v>110</v>
      </c>
      <c r="O73" s="2097"/>
      <c r="P73" s="2098"/>
      <c r="Q73" s="2096" t="s">
        <v>111</v>
      </c>
      <c r="R73" s="2097"/>
      <c r="S73" s="2098"/>
      <c r="T73" s="2096" t="s">
        <v>112</v>
      </c>
      <c r="U73" s="2097"/>
      <c r="V73" s="2098"/>
      <c r="W73" s="2096" t="s">
        <v>113</v>
      </c>
      <c r="X73" s="2097"/>
      <c r="Y73" s="2098"/>
      <c r="Z73" s="2096" t="s">
        <v>114</v>
      </c>
      <c r="AA73" s="2097"/>
      <c r="AB73" s="2098"/>
      <c r="AC73" s="2096" t="s">
        <v>115</v>
      </c>
      <c r="AD73" s="2097"/>
      <c r="AE73" s="2098"/>
      <c r="AF73" s="2096" t="s">
        <v>116</v>
      </c>
      <c r="AG73" s="2097"/>
      <c r="AH73" s="2098"/>
      <c r="AI73" s="2096" t="s">
        <v>117</v>
      </c>
      <c r="AJ73" s="2097"/>
      <c r="AK73" s="2098"/>
      <c r="AL73" s="2096" t="s">
        <v>118</v>
      </c>
      <c r="AM73" s="2097"/>
      <c r="AN73" s="2098"/>
      <c r="AO73" s="2096" t="s">
        <v>119</v>
      </c>
      <c r="AP73" s="2097"/>
      <c r="AQ73" s="2098"/>
      <c r="AR73" s="230"/>
      <c r="AS73" s="230"/>
    </row>
    <row r="74" spans="1:55" ht="17.25" thickBot="1" x14ac:dyDescent="0.3">
      <c r="A74" s="2109" t="s">
        <v>89</v>
      </c>
      <c r="B74" s="2110"/>
      <c r="C74" s="2110"/>
      <c r="D74" s="270" t="s">
        <v>7</v>
      </c>
      <c r="E74" s="271" t="s">
        <v>8</v>
      </c>
      <c r="F74" s="272" t="s">
        <v>7</v>
      </c>
      <c r="G74" s="273" t="s">
        <v>8</v>
      </c>
      <c r="H74" s="2099"/>
      <c r="I74" s="2100"/>
      <c r="J74" s="2101"/>
      <c r="K74" s="2099"/>
      <c r="L74" s="2100"/>
      <c r="M74" s="2101"/>
      <c r="N74" s="2099"/>
      <c r="O74" s="2100"/>
      <c r="P74" s="2101"/>
      <c r="Q74" s="2099"/>
      <c r="R74" s="2100"/>
      <c r="S74" s="2101"/>
      <c r="T74" s="2099"/>
      <c r="U74" s="2100"/>
      <c r="V74" s="2101"/>
      <c r="W74" s="2099"/>
      <c r="X74" s="2100"/>
      <c r="Y74" s="2101"/>
      <c r="Z74" s="2099"/>
      <c r="AA74" s="2100"/>
      <c r="AB74" s="2101"/>
      <c r="AC74" s="2099"/>
      <c r="AD74" s="2100"/>
      <c r="AE74" s="2101"/>
      <c r="AF74" s="2099"/>
      <c r="AG74" s="2100"/>
      <c r="AH74" s="2101"/>
      <c r="AI74" s="2099"/>
      <c r="AJ74" s="2100"/>
      <c r="AK74" s="2101"/>
      <c r="AL74" s="2099"/>
      <c r="AM74" s="2100"/>
      <c r="AN74" s="2101"/>
      <c r="AO74" s="2099"/>
      <c r="AP74" s="2100"/>
      <c r="AQ74" s="2101"/>
      <c r="AR74" s="230"/>
      <c r="AS74" s="230"/>
    </row>
    <row r="75" spans="1:55" ht="16.5" x14ac:dyDescent="0.25">
      <c r="A75" s="274" t="s">
        <v>90</v>
      </c>
      <c r="B75" s="275" t="s">
        <v>91</v>
      </c>
      <c r="C75" s="276"/>
      <c r="D75" s="277"/>
      <c r="E75" s="278"/>
      <c r="F75" s="279"/>
      <c r="G75" s="280"/>
      <c r="H75" s="281">
        <f>SQRT(I75^2+J75^2)*1000/(1.73*$H$11)</f>
        <v>49.05493191227616</v>
      </c>
      <c r="I75" s="282">
        <v>0.872</v>
      </c>
      <c r="J75" s="283">
        <v>0.221</v>
      </c>
      <c r="K75" s="281">
        <f>SQRT(L75^2+M75^2)*1000/(1.73*$H$11)</f>
        <v>50.840567383472013</v>
      </c>
      <c r="L75" s="282">
        <v>0.89900000000000002</v>
      </c>
      <c r="M75" s="283">
        <v>0.247</v>
      </c>
      <c r="N75" s="281">
        <f>SQRT(O75^2+P75^2)*1000/(1.73*$H$11)</f>
        <v>50.505776501334211</v>
      </c>
      <c r="O75" s="282">
        <v>0.89400000000000002</v>
      </c>
      <c r="P75" s="283">
        <v>0.24199999999999999</v>
      </c>
      <c r="Q75" s="281">
        <f>SQRT(R75^2+S75^2)*1000/(1.73*$H$11)</f>
        <v>52.767998013319612</v>
      </c>
      <c r="R75" s="282">
        <v>0.93400000000000005</v>
      </c>
      <c r="S75" s="283">
        <v>0.253</v>
      </c>
      <c r="T75" s="281">
        <f>SQRT(U75^2+V75^2)*1000/(1.73*$H$11)</f>
        <v>55.078941163793004</v>
      </c>
      <c r="U75" s="282">
        <v>0.97599999999999998</v>
      </c>
      <c r="V75" s="283">
        <v>0.26</v>
      </c>
      <c r="W75" s="281">
        <f>SQRT(X75^2+Y75^2)*1000/(1.73*$H$11)</f>
        <v>55.539437455907056</v>
      </c>
      <c r="X75" s="282">
        <v>0.98499999999999999</v>
      </c>
      <c r="Y75" s="283">
        <v>0.25900000000000001</v>
      </c>
      <c r="Z75" s="281">
        <f>SQRT(AA75^2+AB75^2)*1000/(1.73*$H$11)</f>
        <v>56.99386940951004</v>
      </c>
      <c r="AA75" s="282">
        <v>1.0109999999999999</v>
      </c>
      <c r="AB75" s="283">
        <v>0.26500000000000001</v>
      </c>
      <c r="AC75" s="281">
        <f>SQRT(AD75^2+AE75^2)*1000/(1.73*$H$11)</f>
        <v>56.221100505741632</v>
      </c>
      <c r="AD75" s="282">
        <v>0.995</v>
      </c>
      <c r="AE75" s="283">
        <v>0.27</v>
      </c>
      <c r="AF75" s="281">
        <f>SQRT(AG75^2+AH75^2)*1000/(1.73*$H$11)</f>
        <v>55.433966654794638</v>
      </c>
      <c r="AG75" s="282">
        <v>0.98299999999999998</v>
      </c>
      <c r="AH75" s="283">
        <v>0.25900000000000001</v>
      </c>
      <c r="AI75" s="281">
        <f>SQRT(AJ75^2+AK75^2)*1000/(1.73*$H$11)</f>
        <v>54.226214516416164</v>
      </c>
      <c r="AJ75" s="282">
        <v>0.96399999999999997</v>
      </c>
      <c r="AK75" s="283">
        <v>0.24399999999999999</v>
      </c>
      <c r="AL75" s="281">
        <f>SQRT(AM75^2+AN75^2)*1000/(1.73*$H$11)</f>
        <v>53.241865128824934</v>
      </c>
      <c r="AM75" s="282">
        <v>0.94299999999999995</v>
      </c>
      <c r="AN75" s="283">
        <v>0.253</v>
      </c>
      <c r="AO75" s="281">
        <f>SQRT(AP75^2+AQ75^2)*1000/(1.73*$H$11)</f>
        <v>49.824583133003586</v>
      </c>
      <c r="AP75" s="282">
        <v>0.88400000000000001</v>
      </c>
      <c r="AQ75" s="283">
        <v>0.23100000000000001</v>
      </c>
      <c r="AR75" s="284"/>
      <c r="AS75" s="284"/>
      <c r="AT75" s="284"/>
      <c r="AU75" s="284">
        <f>AS75+AS26</f>
        <v>0</v>
      </c>
    </row>
    <row r="76" spans="1:55" ht="16.5" x14ac:dyDescent="0.25">
      <c r="A76" s="285" t="s">
        <v>92</v>
      </c>
      <c r="B76" s="286" t="s">
        <v>93</v>
      </c>
      <c r="C76" s="287"/>
      <c r="D76" s="288"/>
      <c r="E76" s="289"/>
      <c r="F76" s="290"/>
      <c r="G76" s="291"/>
      <c r="H76" s="292">
        <f>SQRT(I76^2+J76^2)*1000/(1.73*$H$11)</f>
        <v>7.7503928473944246</v>
      </c>
      <c r="I76" s="293">
        <v>0.13800000000000001</v>
      </c>
      <c r="J76" s="294">
        <v>3.4000000000000002E-2</v>
      </c>
      <c r="K76" s="292">
        <f>SQRT(L76^2+M76^2)*1000/(1.73*$H$11)</f>
        <v>13.37135983775682</v>
      </c>
      <c r="L76" s="293">
        <v>0.19</v>
      </c>
      <c r="M76" s="294">
        <v>0.155</v>
      </c>
      <c r="N76" s="292">
        <f>SQRT(O76^2+P76^2)*1000/(1.73*$H$11)</f>
        <v>11.041802121996176</v>
      </c>
      <c r="O76" s="293">
        <v>0.17</v>
      </c>
      <c r="P76" s="294">
        <v>0.11</v>
      </c>
      <c r="Q76" s="292">
        <f>SQRT(R76^2+S76^2)*1000/(1.73*$H$11)</f>
        <v>12.673517866482941</v>
      </c>
      <c r="R76" s="293">
        <v>0.187</v>
      </c>
      <c r="S76" s="294">
        <v>0.13800000000000001</v>
      </c>
      <c r="T76" s="292">
        <f>SQRT(U76^2+V76^2)*1000/(1.73*$H$11)</f>
        <v>11.771748906599903</v>
      </c>
      <c r="U76" s="293">
        <v>0.16600000000000001</v>
      </c>
      <c r="V76" s="294">
        <v>0.13800000000000001</v>
      </c>
      <c r="W76" s="292">
        <f>SQRT(X76^2+Y76^2)*1000/(1.73*$H$11)</f>
        <v>12.384911580511053</v>
      </c>
      <c r="X76" s="293">
        <v>0.16600000000000001</v>
      </c>
      <c r="Y76" s="294">
        <v>0.155</v>
      </c>
      <c r="Z76" s="292">
        <f>SQRT(AA76^2+AB76^2)*1000/(1.73*$H$11)</f>
        <v>12.00252202891523</v>
      </c>
      <c r="AA76" s="293">
        <v>0.16200000000000001</v>
      </c>
      <c r="AB76" s="294">
        <v>0.14899999999999999</v>
      </c>
      <c r="AC76" s="292">
        <f>SQRT(AD76^2+AE76^2)*1000/(1.73*$H$11)</f>
        <v>6.3950913589756446</v>
      </c>
      <c r="AD76" s="293">
        <v>0.107</v>
      </c>
      <c r="AE76" s="294">
        <v>4.8000000000000001E-2</v>
      </c>
      <c r="AF76" s="292">
        <f>SQRT(AG76^2+AH76^2)*1000/(1.73*$H$11)</f>
        <v>5.5432089087523577</v>
      </c>
      <c r="AG76" s="293">
        <v>9.8000000000000004E-2</v>
      </c>
      <c r="AH76" s="294">
        <v>2.7E-2</v>
      </c>
      <c r="AI76" s="292">
        <f>SQRT(AJ76^2+AK76^2)*1000/(1.73*$H$11)</f>
        <v>5.5432089087523577</v>
      </c>
      <c r="AJ76" s="293">
        <v>9.8000000000000004E-2</v>
      </c>
      <c r="AK76" s="294">
        <v>2.7E-2</v>
      </c>
      <c r="AL76" s="292">
        <f>SQRT(AM76^2+AN76^2)*1000/(1.73*$H$11)</f>
        <v>5.5289745253077003</v>
      </c>
      <c r="AM76" s="293">
        <v>9.8000000000000004E-2</v>
      </c>
      <c r="AN76" s="294">
        <v>2.5999999999999999E-2</v>
      </c>
      <c r="AO76" s="292">
        <f>SQRT(AP76^2+AQ76^2)*1000/(1.73*$H$11)</f>
        <v>5.5432089087523577</v>
      </c>
      <c r="AP76" s="293">
        <v>9.8000000000000004E-2</v>
      </c>
      <c r="AQ76" s="294">
        <v>2.7E-2</v>
      </c>
      <c r="AR76" s="284"/>
      <c r="AS76" s="284"/>
      <c r="AT76" s="284"/>
      <c r="AU76" s="284">
        <f>AS76+AS27</f>
        <v>0</v>
      </c>
    </row>
    <row r="77" spans="1:55" ht="16.5" x14ac:dyDescent="0.25">
      <c r="A77" s="285" t="s">
        <v>94</v>
      </c>
      <c r="B77" s="286" t="s">
        <v>95</v>
      </c>
      <c r="C77" s="287"/>
      <c r="D77" s="288"/>
      <c r="E77" s="289"/>
      <c r="F77" s="290"/>
      <c r="G77" s="291"/>
      <c r="H77" s="292">
        <f>SQRT(I77^2+J77^2)*1000/(1.73*$H$17)</f>
        <v>20.639560044477811</v>
      </c>
      <c r="I77" s="293">
        <v>0.33700000000000002</v>
      </c>
      <c r="J77" s="294">
        <v>0.18</v>
      </c>
      <c r="K77" s="292">
        <f>SQRT(L77^2+M77^2)*1000/(1.73*$H$17)</f>
        <v>35.127551577698881</v>
      </c>
      <c r="L77" s="293">
        <v>0.48599999999999999</v>
      </c>
      <c r="M77" s="294">
        <v>0.432</v>
      </c>
      <c r="N77" s="292">
        <f>SQRT(O77^2+P77^2)*1000/(1.73*$H$17)</f>
        <v>31.388742044466333</v>
      </c>
      <c r="O77" s="293">
        <v>0.44800000000000001</v>
      </c>
      <c r="P77" s="294">
        <v>0.37</v>
      </c>
      <c r="Q77" s="292">
        <f>SQRT(R77^2+S77^2)*1000/(1.73*$H$17)</f>
        <v>28.191634376382225</v>
      </c>
      <c r="R77" s="293">
        <v>0.42199999999999999</v>
      </c>
      <c r="S77" s="294">
        <v>0.307</v>
      </c>
      <c r="T77" s="292">
        <f>SQRT(U77^2+V77^2)*1000/(1.73*$H$17)</f>
        <v>38.319071167625673</v>
      </c>
      <c r="U77" s="293">
        <v>0.54500000000000004</v>
      </c>
      <c r="V77" s="294">
        <v>0.45400000000000001</v>
      </c>
      <c r="W77" s="292">
        <f>SQRT(X77^2+Y77^2)*1000/(1.73*$H$17)</f>
        <v>22.035916596191282</v>
      </c>
      <c r="X77" s="293">
        <v>0.36199999999999999</v>
      </c>
      <c r="Y77" s="294">
        <v>0.188</v>
      </c>
      <c r="Z77" s="292">
        <f>SQRT(AA77^2+AB77^2)*1000/(1.73*$H$17)</f>
        <v>21.477778084861875</v>
      </c>
      <c r="AA77" s="293">
        <v>0.35499999999999998</v>
      </c>
      <c r="AB77" s="294">
        <v>0.17899999999999999</v>
      </c>
      <c r="AC77" s="292">
        <f>SQRT(AD77^2+AE77^2)*1000/(1.73*$H$17)</f>
        <v>24.111217825783704</v>
      </c>
      <c r="AD77" s="293">
        <v>0.4</v>
      </c>
      <c r="AE77" s="294">
        <v>0.19800000000000001</v>
      </c>
      <c r="AF77" s="292">
        <f>SQRT(AG77^2+AH77^2)*1000/(1.73*$H$17)</f>
        <v>24.836756234666819</v>
      </c>
      <c r="AG77" s="293">
        <v>0.41299999999999998</v>
      </c>
      <c r="AH77" s="294">
        <v>0.20200000000000001</v>
      </c>
      <c r="AI77" s="292">
        <f>SQRT(AJ77^2+AK77^2)*1000/(1.73*$H$17)</f>
        <v>22.709782279183212</v>
      </c>
      <c r="AJ77" s="293">
        <v>0.376</v>
      </c>
      <c r="AK77" s="294">
        <v>0.188</v>
      </c>
      <c r="AL77" s="292">
        <f>SQRT(AM77^2+AN77^2)*1000/(1.73*$H$17)</f>
        <v>23.966506478556841</v>
      </c>
      <c r="AM77" s="293">
        <v>0.39800000000000002</v>
      </c>
      <c r="AN77" s="294">
        <v>0.19600000000000001</v>
      </c>
      <c r="AO77" s="292">
        <f>SQRT(AP77^2+AQ77^2)*1000/(1.73*$H$17)</f>
        <v>25.103231345203262</v>
      </c>
      <c r="AP77" s="293">
        <v>0.41799999999999998</v>
      </c>
      <c r="AQ77" s="294">
        <v>0.20300000000000001</v>
      </c>
      <c r="AR77" s="284"/>
      <c r="AS77" s="284"/>
      <c r="AT77" s="284"/>
      <c r="AU77" s="284">
        <f>AS77+AS28</f>
        <v>0</v>
      </c>
    </row>
    <row r="78" spans="1:55" ht="16.5" x14ac:dyDescent="0.25">
      <c r="A78" s="285" t="s">
        <v>96</v>
      </c>
      <c r="B78" s="286" t="s">
        <v>97</v>
      </c>
      <c r="C78" s="287"/>
      <c r="D78" s="288"/>
      <c r="E78" s="289"/>
      <c r="F78" s="290"/>
      <c r="G78" s="291"/>
      <c r="H78" s="292">
        <f>SQRT(I78^2+J78^2)*1000/(1.73*$H$17)</f>
        <v>108.9177693027121</v>
      </c>
      <c r="I78" s="293">
        <v>1.9630000000000001</v>
      </c>
      <c r="J78" s="294">
        <v>0.46</v>
      </c>
      <c r="K78" s="292">
        <f>SQRT(L78^2+M78^2)*1000/(1.73*$H$17)</f>
        <v>107.96200507526629</v>
      </c>
      <c r="L78" s="293">
        <v>1.946</v>
      </c>
      <c r="M78" s="294">
        <v>0.45500000000000002</v>
      </c>
      <c r="N78" s="292">
        <f>SQRT(O78^2+P78^2)*1000/(1.73*$H$17)</f>
        <v>107.82888774115229</v>
      </c>
      <c r="O78" s="293">
        <v>1.9430000000000001</v>
      </c>
      <c r="P78" s="294">
        <v>0.45700000000000002</v>
      </c>
      <c r="Q78" s="292">
        <f>SQRT(R78^2+S78^2)*1000/(1.73*$H$17)</f>
        <v>112.05145146293414</v>
      </c>
      <c r="R78" s="293">
        <v>2.02</v>
      </c>
      <c r="S78" s="294">
        <v>0.47099999999999997</v>
      </c>
      <c r="T78" s="292">
        <f>SQRT(U78^2+V78^2)*1000/(1.73*$H$17)</f>
        <v>115.1204348135422</v>
      </c>
      <c r="U78" s="293">
        <v>2.0760000000000001</v>
      </c>
      <c r="V78" s="294">
        <v>0.48099999999999998</v>
      </c>
      <c r="W78" s="292">
        <f>SQRT(X78^2+Y78^2)*1000/(1.73*$H$17)</f>
        <v>116.48112162537765</v>
      </c>
      <c r="X78" s="293">
        <v>2.1</v>
      </c>
      <c r="Y78" s="294">
        <v>0.48899999999999999</v>
      </c>
      <c r="Z78" s="292">
        <f>SQRT(AA78^2+AB78^2)*1000/(1.73*$H$17)</f>
        <v>115.902442420931</v>
      </c>
      <c r="AA78" s="293">
        <v>2.089</v>
      </c>
      <c r="AB78" s="294">
        <v>0.48899999999999999</v>
      </c>
      <c r="AC78" s="292">
        <f>SQRT(AD78^2+AE78^2)*1000/(1.73*$H$17)</f>
        <v>117.39335193278033</v>
      </c>
      <c r="AD78" s="293">
        <v>2.1150000000000002</v>
      </c>
      <c r="AE78" s="294">
        <v>0.499</v>
      </c>
      <c r="AF78" s="292">
        <f>SQRT(AG78^2+AH78^2)*1000/(1.73*$H$17)</f>
        <v>114.12997324694344</v>
      </c>
      <c r="AG78" s="293">
        <v>2.056</v>
      </c>
      <c r="AH78" s="294">
        <v>0.48599999999999999</v>
      </c>
      <c r="AI78" s="292">
        <f>SQRT(AJ78^2+AK78^2)*1000/(1.73*$H$17)</f>
        <v>113.47169089779337</v>
      </c>
      <c r="AJ78" s="293">
        <v>2.0430000000000001</v>
      </c>
      <c r="AK78" s="294">
        <v>0.48799999999999999</v>
      </c>
      <c r="AL78" s="292">
        <f>SQRT(AM78^2+AN78^2)*1000/(1.73*$H$17)</f>
        <v>110.41652276200389</v>
      </c>
      <c r="AM78" s="293">
        <v>1.9870000000000001</v>
      </c>
      <c r="AN78" s="294">
        <v>0.47899999999999998</v>
      </c>
      <c r="AO78" s="292">
        <f>SQRT(AP78^2+AQ78^2)*1000/(1.73*$H$17)</f>
        <v>110.36400598873891</v>
      </c>
      <c r="AP78" s="293">
        <v>1.986</v>
      </c>
      <c r="AQ78" s="294">
        <v>0.47899999999999998</v>
      </c>
      <c r="AR78" s="284"/>
      <c r="AS78" s="284"/>
      <c r="AT78" s="284"/>
      <c r="AU78" s="284">
        <f>AS78+AS29</f>
        <v>0</v>
      </c>
    </row>
    <row r="79" spans="1:55" ht="17.25" thickBot="1" x14ac:dyDescent="0.3">
      <c r="A79" s="295" t="s">
        <v>98</v>
      </c>
      <c r="B79" s="296" t="s">
        <v>99</v>
      </c>
      <c r="C79" s="297"/>
      <c r="D79" s="298"/>
      <c r="E79" s="299"/>
      <c r="F79" s="300"/>
      <c r="G79" s="301"/>
      <c r="H79" s="302">
        <f>SQRT(I79^2+J79^2)*1000/(1.73*$H$17)</f>
        <v>1.1344605909999461</v>
      </c>
      <c r="I79" s="303">
        <v>2.1000000000000001E-2</v>
      </c>
      <c r="J79" s="304"/>
      <c r="K79" s="302">
        <f>SQRT(L79^2+M79^2)*1000/(1.73*$H$17)</f>
        <v>1.0264167251904273</v>
      </c>
      <c r="L79" s="303">
        <v>1.9E-2</v>
      </c>
      <c r="M79" s="304">
        <v>0</v>
      </c>
      <c r="N79" s="302">
        <f>SQRT(O79^2+P79^2)*1000/(1.73*$H$17)</f>
        <v>1.1884825239047054</v>
      </c>
      <c r="O79" s="303">
        <v>2.1999999999999999E-2</v>
      </c>
      <c r="P79" s="304">
        <v>0</v>
      </c>
      <c r="Q79" s="302">
        <f>SQRT(R79^2+S79^2)*1000/(1.73*$H$17)</f>
        <v>1.1344605909999461</v>
      </c>
      <c r="R79" s="303">
        <v>2.1000000000000001E-2</v>
      </c>
      <c r="S79" s="304">
        <v>0</v>
      </c>
      <c r="T79" s="302">
        <f>SQRT(U79^2+V79^2)*1000/(1.73*$H$17)</f>
        <v>1.1884825239047054</v>
      </c>
      <c r="U79" s="303">
        <v>2.1999999999999999E-2</v>
      </c>
      <c r="V79" s="304">
        <v>0</v>
      </c>
      <c r="W79" s="302">
        <f>SQRT(X79^2+Y79^2)*1000/(1.73*$H$17)</f>
        <v>1.1884825239047054</v>
      </c>
      <c r="X79" s="303">
        <v>2.1999999999999999E-2</v>
      </c>
      <c r="Y79" s="304">
        <v>0</v>
      </c>
      <c r="Z79" s="302">
        <f>SQRT(AA79^2+AB79^2)*1000/(1.73*$H$17)</f>
        <v>1.1344605909999461</v>
      </c>
      <c r="AA79" s="303">
        <v>2.1000000000000001E-2</v>
      </c>
      <c r="AB79" s="304">
        <v>0</v>
      </c>
      <c r="AC79" s="302">
        <f>SQRT(AD79^2+AE79^2)*1000/(1.73*$H$17)</f>
        <v>0.97239479228566805</v>
      </c>
      <c r="AD79" s="303">
        <v>1.7999999999999999E-2</v>
      </c>
      <c r="AE79" s="304">
        <v>0</v>
      </c>
      <c r="AF79" s="302">
        <f>SQRT(AG79^2+AH79^2)*1000/(1.73*$H$17)</f>
        <v>0.75630706066663067</v>
      </c>
      <c r="AG79" s="303">
        <v>1.4E-2</v>
      </c>
      <c r="AH79" s="304">
        <v>0</v>
      </c>
      <c r="AI79" s="302">
        <f>SQRT(AJ79^2+AK79^2)*1000/(1.73*$H$17)</f>
        <v>0.86435092647614931</v>
      </c>
      <c r="AJ79" s="303">
        <v>1.6E-2</v>
      </c>
      <c r="AK79" s="304">
        <v>0</v>
      </c>
      <c r="AL79" s="302">
        <f>SQRT(AM79^2+AN79^2)*1000/(1.73*$H$17)</f>
        <v>0.75630706066663067</v>
      </c>
      <c r="AM79" s="303">
        <v>1.4E-2</v>
      </c>
      <c r="AN79" s="304">
        <v>0</v>
      </c>
      <c r="AO79" s="302">
        <f>SQRT(AP79^2+AQ79^2)*1000/(1.73*$H$17)</f>
        <v>0.75630706066663067</v>
      </c>
      <c r="AP79" s="303">
        <v>1.4E-2</v>
      </c>
      <c r="AQ79" s="304">
        <v>0</v>
      </c>
      <c r="AR79" s="284"/>
      <c r="AS79" s="284"/>
      <c r="AT79" s="284"/>
      <c r="AU79" s="284">
        <f>AS79+AS30</f>
        <v>0</v>
      </c>
    </row>
    <row r="80" spans="1:55" ht="16.5" x14ac:dyDescent="0.25">
      <c r="A80" s="305"/>
      <c r="B80" s="306" t="s">
        <v>100</v>
      </c>
      <c r="C80" s="307"/>
      <c r="D80" s="308"/>
      <c r="E80" s="309"/>
      <c r="F80" s="310"/>
      <c r="G80" s="311"/>
      <c r="H80" s="281"/>
      <c r="I80" s="282">
        <v>6.0000000000000001E-3</v>
      </c>
      <c r="J80" s="283"/>
      <c r="K80" s="281"/>
      <c r="L80" s="282">
        <v>6.0000000000000001E-3</v>
      </c>
      <c r="M80" s="283"/>
      <c r="N80" s="281"/>
      <c r="O80" s="282">
        <v>6.0000000000000001E-3</v>
      </c>
      <c r="P80" s="283"/>
      <c r="Q80" s="281"/>
      <c r="R80" s="282">
        <v>0</v>
      </c>
      <c r="S80" s="283"/>
      <c r="T80" s="281"/>
      <c r="U80" s="282">
        <v>6.0000000000000001E-3</v>
      </c>
      <c r="V80" s="283"/>
      <c r="W80" s="281"/>
      <c r="X80" s="282">
        <v>6.0000000000000001E-3</v>
      </c>
      <c r="Y80" s="283"/>
      <c r="Z80" s="281"/>
      <c r="AA80" s="282"/>
      <c r="AB80" s="283"/>
      <c r="AC80" s="281"/>
      <c r="AD80" s="282">
        <v>6.0000000000000001E-3</v>
      </c>
      <c r="AE80" s="283"/>
      <c r="AF80" s="281"/>
      <c r="AG80" s="282">
        <v>6.0000000000000001E-3</v>
      </c>
      <c r="AH80" s="283"/>
      <c r="AI80" s="281"/>
      <c r="AJ80" s="282">
        <v>6.0000000000000001E-3</v>
      </c>
      <c r="AK80" s="283"/>
      <c r="AL80" s="281"/>
      <c r="AM80" s="282">
        <v>6.0000000000000001E-3</v>
      </c>
      <c r="AN80" s="283"/>
      <c r="AO80" s="281"/>
      <c r="AP80" s="282">
        <v>6.0000000000000001E-3</v>
      </c>
      <c r="AQ80" s="283"/>
      <c r="AR80" s="230"/>
      <c r="AS80" s="230"/>
      <c r="AT80" s="284"/>
      <c r="AU80" s="284">
        <f>AU79+AU78+AU77+AU76+AU75</f>
        <v>0</v>
      </c>
    </row>
    <row r="81" spans="1:81" ht="17.25" thickBot="1" x14ac:dyDescent="0.3">
      <c r="A81" s="312"/>
      <c r="B81" s="313" t="s">
        <v>101</v>
      </c>
      <c r="C81" s="314"/>
      <c r="D81" s="315"/>
      <c r="E81" s="316"/>
      <c r="F81" s="317"/>
      <c r="G81" s="318"/>
      <c r="H81" s="319"/>
      <c r="I81" s="320">
        <v>0</v>
      </c>
      <c r="J81" s="321"/>
      <c r="K81" s="319"/>
      <c r="L81" s="320">
        <v>0</v>
      </c>
      <c r="M81" s="321"/>
      <c r="N81" s="319"/>
      <c r="O81" s="320"/>
      <c r="P81" s="321"/>
      <c r="Q81" s="319"/>
      <c r="R81" s="320">
        <v>0</v>
      </c>
      <c r="S81" s="321"/>
      <c r="T81" s="319"/>
      <c r="U81" s="320">
        <v>0</v>
      </c>
      <c r="V81" s="321"/>
      <c r="W81" s="319"/>
      <c r="X81" s="320"/>
      <c r="Y81" s="321"/>
      <c r="Z81" s="319"/>
      <c r="AA81" s="320">
        <v>0</v>
      </c>
      <c r="AB81" s="321"/>
      <c r="AC81" s="319"/>
      <c r="AD81" s="320">
        <v>0</v>
      </c>
      <c r="AE81" s="321"/>
      <c r="AF81" s="319"/>
      <c r="AG81" s="320"/>
      <c r="AH81" s="321"/>
      <c r="AI81" s="319"/>
      <c r="AJ81" s="320">
        <v>0</v>
      </c>
      <c r="AK81" s="321"/>
      <c r="AL81" s="319"/>
      <c r="AM81" s="320">
        <v>0</v>
      </c>
      <c r="AN81" s="321"/>
      <c r="AO81" s="319"/>
      <c r="AP81" s="320"/>
      <c r="AQ81" s="321"/>
      <c r="AR81" s="230"/>
      <c r="AS81" s="230"/>
    </row>
    <row r="82" spans="1:81" ht="16.5" x14ac:dyDescent="0.25">
      <c r="A82" s="2113" t="s">
        <v>102</v>
      </c>
      <c r="B82" s="2114"/>
      <c r="C82" s="2114"/>
      <c r="D82" s="2114"/>
      <c r="E82" s="2114"/>
      <c r="F82" s="2114"/>
      <c r="G82" s="2115"/>
      <c r="H82" s="281">
        <f t="shared" ref="H82:AQ82" si="7">H75+H76</f>
        <v>56.805324759670583</v>
      </c>
      <c r="I82" s="282">
        <f>I75+I76</f>
        <v>1.01</v>
      </c>
      <c r="J82" s="283">
        <f t="shared" si="7"/>
        <v>0.255</v>
      </c>
      <c r="K82" s="281">
        <f t="shared" si="7"/>
        <v>64.211927221228834</v>
      </c>
      <c r="L82" s="282">
        <f t="shared" si="7"/>
        <v>1.089</v>
      </c>
      <c r="M82" s="283">
        <f t="shared" si="7"/>
        <v>0.40200000000000002</v>
      </c>
      <c r="N82" s="281">
        <f t="shared" si="7"/>
        <v>61.547578623330388</v>
      </c>
      <c r="O82" s="282">
        <f t="shared" si="7"/>
        <v>1.0640000000000001</v>
      </c>
      <c r="P82" s="283">
        <f t="shared" si="7"/>
        <v>0.35199999999999998</v>
      </c>
      <c r="Q82" s="281">
        <f t="shared" si="7"/>
        <v>65.441515879802552</v>
      </c>
      <c r="R82" s="282">
        <f t="shared" si="7"/>
        <v>1.121</v>
      </c>
      <c r="S82" s="283">
        <f t="shared" si="7"/>
        <v>0.39100000000000001</v>
      </c>
      <c r="T82" s="281">
        <f t="shared" si="7"/>
        <v>66.850690070392915</v>
      </c>
      <c r="U82" s="282">
        <f t="shared" si="7"/>
        <v>1.1419999999999999</v>
      </c>
      <c r="V82" s="283">
        <f t="shared" si="7"/>
        <v>0.39800000000000002</v>
      </c>
      <c r="W82" s="281">
        <f t="shared" si="7"/>
        <v>67.924349036418107</v>
      </c>
      <c r="X82" s="282">
        <f t="shared" si="7"/>
        <v>1.151</v>
      </c>
      <c r="Y82" s="283">
        <f t="shared" si="7"/>
        <v>0.41400000000000003</v>
      </c>
      <c r="Z82" s="281">
        <f t="shared" si="7"/>
        <v>68.996391438425263</v>
      </c>
      <c r="AA82" s="282">
        <f t="shared" si="7"/>
        <v>1.1729999999999998</v>
      </c>
      <c r="AB82" s="283">
        <f t="shared" si="7"/>
        <v>0.41400000000000003</v>
      </c>
      <c r="AC82" s="281">
        <f t="shared" si="7"/>
        <v>62.61619186471728</v>
      </c>
      <c r="AD82" s="282">
        <f t="shared" si="7"/>
        <v>1.1020000000000001</v>
      </c>
      <c r="AE82" s="283">
        <f t="shared" si="7"/>
        <v>0.318</v>
      </c>
      <c r="AF82" s="281">
        <f t="shared" si="7"/>
        <v>60.977175563546993</v>
      </c>
      <c r="AG82" s="282">
        <f t="shared" si="7"/>
        <v>1.081</v>
      </c>
      <c r="AH82" s="283">
        <f t="shared" si="7"/>
        <v>0.28600000000000003</v>
      </c>
      <c r="AI82" s="281">
        <f t="shared" si="7"/>
        <v>59.769423425168519</v>
      </c>
      <c r="AJ82" s="282">
        <f t="shared" si="7"/>
        <v>1.0620000000000001</v>
      </c>
      <c r="AK82" s="283">
        <f t="shared" si="7"/>
        <v>0.27100000000000002</v>
      </c>
      <c r="AL82" s="281">
        <f t="shared" si="7"/>
        <v>58.770839654132637</v>
      </c>
      <c r="AM82" s="282">
        <f t="shared" si="7"/>
        <v>1.0409999999999999</v>
      </c>
      <c r="AN82" s="283">
        <f t="shared" si="7"/>
        <v>0.27900000000000003</v>
      </c>
      <c r="AO82" s="281">
        <f t="shared" si="7"/>
        <v>55.367792041755941</v>
      </c>
      <c r="AP82" s="282">
        <f t="shared" si="7"/>
        <v>0.98199999999999998</v>
      </c>
      <c r="AQ82" s="283">
        <f t="shared" si="7"/>
        <v>0.25800000000000001</v>
      </c>
      <c r="AR82" s="249"/>
      <c r="AS82" s="249"/>
    </row>
    <row r="83" spans="1:81" ht="17.25" thickBot="1" x14ac:dyDescent="0.3">
      <c r="A83" s="2116" t="s">
        <v>103</v>
      </c>
      <c r="B83" s="2117"/>
      <c r="C83" s="2117"/>
      <c r="D83" s="2117"/>
      <c r="E83" s="2117"/>
      <c r="F83" s="2117"/>
      <c r="G83" s="2118"/>
      <c r="H83" s="302">
        <f t="shared" ref="H83:AQ83" si="8">H79+H78+H77</f>
        <v>130.69178993818986</v>
      </c>
      <c r="I83" s="303">
        <f>I79+I78+I77</f>
        <v>2.3210000000000002</v>
      </c>
      <c r="J83" s="304">
        <f t="shared" si="8"/>
        <v>0.64</v>
      </c>
      <c r="K83" s="302">
        <f t="shared" si="8"/>
        <v>144.11597337815562</v>
      </c>
      <c r="L83" s="303">
        <f t="shared" si="8"/>
        <v>2.4509999999999996</v>
      </c>
      <c r="M83" s="304">
        <f t="shared" si="8"/>
        <v>0.88700000000000001</v>
      </c>
      <c r="N83" s="302">
        <f t="shared" si="8"/>
        <v>140.40611230952334</v>
      </c>
      <c r="O83" s="303">
        <f t="shared" si="8"/>
        <v>2.4130000000000003</v>
      </c>
      <c r="P83" s="304">
        <f t="shared" si="8"/>
        <v>0.82699999999999996</v>
      </c>
      <c r="Q83" s="302">
        <f t="shared" si="8"/>
        <v>141.37754643031633</v>
      </c>
      <c r="R83" s="303">
        <f t="shared" si="8"/>
        <v>2.4630000000000001</v>
      </c>
      <c r="S83" s="304">
        <f t="shared" si="8"/>
        <v>0.77800000000000002</v>
      </c>
      <c r="T83" s="302">
        <f t="shared" si="8"/>
        <v>154.62798850507258</v>
      </c>
      <c r="U83" s="303">
        <f t="shared" si="8"/>
        <v>2.6429999999999998</v>
      </c>
      <c r="V83" s="304">
        <f t="shared" si="8"/>
        <v>0.93500000000000005</v>
      </c>
      <c r="W83" s="302">
        <f t="shared" si="8"/>
        <v>139.70552074547365</v>
      </c>
      <c r="X83" s="303">
        <f t="shared" si="8"/>
        <v>2.484</v>
      </c>
      <c r="Y83" s="304">
        <f t="shared" si="8"/>
        <v>0.67700000000000005</v>
      </c>
      <c r="Z83" s="302">
        <f t="shared" si="8"/>
        <v>138.51468109679283</v>
      </c>
      <c r="AA83" s="303">
        <f t="shared" si="8"/>
        <v>2.4649999999999999</v>
      </c>
      <c r="AB83" s="304">
        <f t="shared" si="8"/>
        <v>0.66799999999999993</v>
      </c>
      <c r="AC83" s="302">
        <f t="shared" si="8"/>
        <v>142.47696455084971</v>
      </c>
      <c r="AD83" s="303">
        <f t="shared" si="8"/>
        <v>2.5329999999999999</v>
      </c>
      <c r="AE83" s="304">
        <f t="shared" si="8"/>
        <v>0.69700000000000006</v>
      </c>
      <c r="AF83" s="302">
        <f t="shared" si="8"/>
        <v>139.72303654227687</v>
      </c>
      <c r="AG83" s="303">
        <f t="shared" si="8"/>
        <v>2.4829999999999997</v>
      </c>
      <c r="AH83" s="304">
        <f t="shared" si="8"/>
        <v>0.68799999999999994</v>
      </c>
      <c r="AI83" s="302">
        <f t="shared" si="8"/>
        <v>137.04582410345273</v>
      </c>
      <c r="AJ83" s="303">
        <f t="shared" si="8"/>
        <v>2.4350000000000001</v>
      </c>
      <c r="AK83" s="304">
        <f t="shared" si="8"/>
        <v>0.67599999999999993</v>
      </c>
      <c r="AL83" s="302">
        <f t="shared" si="8"/>
        <v>135.13933630122736</v>
      </c>
      <c r="AM83" s="303">
        <f t="shared" si="8"/>
        <v>2.399</v>
      </c>
      <c r="AN83" s="304">
        <f t="shared" si="8"/>
        <v>0.67500000000000004</v>
      </c>
      <c r="AO83" s="302">
        <f t="shared" si="8"/>
        <v>136.22354439460881</v>
      </c>
      <c r="AP83" s="303">
        <f t="shared" si="8"/>
        <v>2.4180000000000001</v>
      </c>
      <c r="AQ83" s="304">
        <f t="shared" si="8"/>
        <v>0.68199999999999994</v>
      </c>
      <c r="AR83" s="249"/>
      <c r="AS83" s="249"/>
    </row>
    <row r="84" spans="1:81" ht="17.25" thickBot="1" x14ac:dyDescent="0.3">
      <c r="A84" s="2119" t="s">
        <v>104</v>
      </c>
      <c r="B84" s="2120"/>
      <c r="C84" s="2120"/>
      <c r="D84" s="2120"/>
      <c r="E84" s="2120"/>
      <c r="F84" s="2120"/>
      <c r="G84" s="2120"/>
      <c r="H84" s="323">
        <f>H82+H83</f>
        <v>187.49711469786044</v>
      </c>
      <c r="I84" s="320">
        <f>I82+I83</f>
        <v>3.3310000000000004</v>
      </c>
      <c r="J84" s="321">
        <f t="shared" ref="J84:AQ84" si="9">J82+J83</f>
        <v>0.89500000000000002</v>
      </c>
      <c r="K84" s="323">
        <f t="shared" si="9"/>
        <v>208.32790059938446</v>
      </c>
      <c r="L84" s="320">
        <f t="shared" si="9"/>
        <v>3.5399999999999996</v>
      </c>
      <c r="M84" s="321">
        <f t="shared" si="9"/>
        <v>1.2890000000000001</v>
      </c>
      <c r="N84" s="323">
        <f t="shared" si="9"/>
        <v>201.95369093285373</v>
      </c>
      <c r="O84" s="320">
        <f t="shared" si="9"/>
        <v>3.4770000000000003</v>
      </c>
      <c r="P84" s="321">
        <f t="shared" si="9"/>
        <v>1.1789999999999998</v>
      </c>
      <c r="Q84" s="323">
        <f t="shared" si="9"/>
        <v>206.81906231011888</v>
      </c>
      <c r="R84" s="320">
        <f t="shared" si="9"/>
        <v>3.5840000000000001</v>
      </c>
      <c r="S84" s="321">
        <f t="shared" si="9"/>
        <v>1.169</v>
      </c>
      <c r="T84" s="323">
        <f t="shared" si="9"/>
        <v>221.47867857546549</v>
      </c>
      <c r="U84" s="320">
        <f t="shared" si="9"/>
        <v>3.7849999999999997</v>
      </c>
      <c r="V84" s="321">
        <f t="shared" si="9"/>
        <v>1.3330000000000002</v>
      </c>
      <c r="W84" s="323">
        <f t="shared" si="9"/>
        <v>207.62986978189176</v>
      </c>
      <c r="X84" s="320">
        <f t="shared" si="9"/>
        <v>3.6349999999999998</v>
      </c>
      <c r="Y84" s="321">
        <f t="shared" si="9"/>
        <v>1.0910000000000002</v>
      </c>
      <c r="Z84" s="323">
        <f t="shared" si="9"/>
        <v>207.51107253521809</v>
      </c>
      <c r="AA84" s="320">
        <f t="shared" si="9"/>
        <v>3.6379999999999999</v>
      </c>
      <c r="AB84" s="321">
        <f t="shared" si="9"/>
        <v>1.0819999999999999</v>
      </c>
      <c r="AC84" s="323">
        <f t="shared" si="9"/>
        <v>205.09315641556699</v>
      </c>
      <c r="AD84" s="320">
        <f t="shared" si="9"/>
        <v>3.6349999999999998</v>
      </c>
      <c r="AE84" s="321">
        <f t="shared" si="9"/>
        <v>1.0150000000000001</v>
      </c>
      <c r="AF84" s="323">
        <f t="shared" si="9"/>
        <v>200.70021210582388</v>
      </c>
      <c r="AG84" s="320">
        <f t="shared" si="9"/>
        <v>3.5639999999999996</v>
      </c>
      <c r="AH84" s="321">
        <f t="shared" si="9"/>
        <v>0.97399999999999998</v>
      </c>
      <c r="AI84" s="323">
        <f t="shared" si="9"/>
        <v>196.81524752862126</v>
      </c>
      <c r="AJ84" s="320">
        <f t="shared" si="9"/>
        <v>3.4969999999999999</v>
      </c>
      <c r="AK84" s="321">
        <f t="shared" si="9"/>
        <v>0.94699999999999995</v>
      </c>
      <c r="AL84" s="323">
        <f t="shared" si="9"/>
        <v>193.91017595535999</v>
      </c>
      <c r="AM84" s="320">
        <f t="shared" si="9"/>
        <v>3.44</v>
      </c>
      <c r="AN84" s="321">
        <f t="shared" si="9"/>
        <v>0.95400000000000007</v>
      </c>
      <c r="AO84" s="323">
        <f t="shared" si="9"/>
        <v>191.59133643636474</v>
      </c>
      <c r="AP84" s="320">
        <f t="shared" si="9"/>
        <v>3.4000000000000004</v>
      </c>
      <c r="AQ84" s="321">
        <f t="shared" si="9"/>
        <v>0.94</v>
      </c>
      <c r="AR84" s="249"/>
      <c r="AS84" s="249"/>
    </row>
    <row r="85" spans="1:81" ht="16.5" x14ac:dyDescent="0.25">
      <c r="A85" s="324"/>
      <c r="B85" s="231"/>
      <c r="C85" s="264"/>
      <c r="D85" s="266"/>
      <c r="E85" s="267"/>
      <c r="F85" s="266"/>
      <c r="G85" s="267"/>
      <c r="H85" s="268"/>
      <c r="I85" s="266"/>
      <c r="J85" s="266"/>
      <c r="K85" s="268"/>
      <c r="L85" s="266"/>
      <c r="M85" s="266"/>
      <c r="N85" s="268"/>
      <c r="O85" s="266"/>
      <c r="P85" s="266"/>
      <c r="Q85" s="268"/>
      <c r="R85" s="266"/>
      <c r="S85" s="266"/>
      <c r="T85" s="268"/>
      <c r="U85" s="266"/>
      <c r="V85" s="266"/>
      <c r="W85" s="268"/>
      <c r="X85" s="266"/>
      <c r="Y85" s="266"/>
      <c r="Z85" s="268"/>
      <c r="AA85" s="266"/>
      <c r="AB85" s="266"/>
      <c r="AC85" s="268"/>
      <c r="AD85" s="266"/>
      <c r="AE85" s="266"/>
      <c r="AF85" s="268"/>
      <c r="AG85" s="266"/>
      <c r="AH85" s="266"/>
      <c r="AI85" s="268"/>
      <c r="AJ85" s="266"/>
      <c r="AK85" s="266"/>
      <c r="AL85" s="268"/>
      <c r="AM85" s="266"/>
      <c r="AN85" s="266"/>
      <c r="AO85" s="268"/>
      <c r="AP85" s="266"/>
      <c r="AQ85" s="266"/>
      <c r="AR85" s="230"/>
      <c r="AS85" s="230"/>
    </row>
    <row r="86" spans="1:81" s="230" customFormat="1" ht="16.5" customHeight="1" thickBot="1" x14ac:dyDescent="0.3">
      <c r="A86" s="325" t="s">
        <v>19</v>
      </c>
      <c r="B86" s="231"/>
      <c r="C86" s="231"/>
      <c r="D86" s="231"/>
      <c r="E86" s="231"/>
      <c r="F86" s="231"/>
      <c r="G86" s="231"/>
      <c r="H86" s="326"/>
      <c r="I86" s="327"/>
      <c r="J86" s="266"/>
      <c r="K86" s="328"/>
      <c r="L86" s="328"/>
      <c r="M86" s="328"/>
      <c r="N86" s="328"/>
      <c r="O86" s="328"/>
      <c r="P86" s="328"/>
      <c r="Q86" s="328"/>
      <c r="R86" s="328"/>
      <c r="S86" s="328"/>
      <c r="T86" s="328"/>
      <c r="U86" s="328"/>
      <c r="V86" s="328"/>
      <c r="W86" s="328"/>
      <c r="X86" s="328"/>
      <c r="Y86" s="328"/>
      <c r="Z86" s="328"/>
      <c r="AA86" s="328"/>
      <c r="AB86" s="328"/>
      <c r="AC86" s="328"/>
      <c r="AD86" s="328"/>
      <c r="AE86" s="328"/>
      <c r="AF86" s="328"/>
      <c r="AG86" s="328"/>
      <c r="AH86" s="328"/>
      <c r="AI86" s="328"/>
      <c r="AJ86" s="328"/>
      <c r="AK86" s="328"/>
      <c r="AL86" s="328"/>
      <c r="AM86" s="328"/>
      <c r="AN86" s="328"/>
      <c r="AO86" s="328"/>
      <c r="AP86" s="328"/>
      <c r="AQ86" s="328"/>
    </row>
    <row r="87" spans="1:81" s="230" customFormat="1" ht="16.5" customHeight="1" x14ac:dyDescent="0.25">
      <c r="A87" s="2061" t="s">
        <v>0</v>
      </c>
      <c r="B87" s="329" t="s">
        <v>22</v>
      </c>
      <c r="C87" s="330"/>
      <c r="D87" s="330" t="s">
        <v>45</v>
      </c>
      <c r="E87" s="330"/>
      <c r="F87" s="330"/>
      <c r="G87" s="331"/>
      <c r="H87" s="332">
        <f>$C$40/1000</f>
        <v>2.7E-2</v>
      </c>
      <c r="I87" s="333" t="s">
        <v>2</v>
      </c>
      <c r="J87" s="334">
        <f>$G$40/1000</f>
        <v>0.17299999999999999</v>
      </c>
      <c r="K87" s="332">
        <f>$C$40/1000</f>
        <v>2.7E-2</v>
      </c>
      <c r="L87" s="333" t="s">
        <v>2</v>
      </c>
      <c r="M87" s="334">
        <f>$G$40/1000</f>
        <v>0.17299999999999999</v>
      </c>
      <c r="N87" s="332">
        <f>$C$40/1000</f>
        <v>2.7E-2</v>
      </c>
      <c r="O87" s="333" t="s">
        <v>2</v>
      </c>
      <c r="P87" s="334">
        <f>$G$40/1000</f>
        <v>0.17299999999999999</v>
      </c>
      <c r="Q87" s="332">
        <f>$C$40/1000</f>
        <v>2.7E-2</v>
      </c>
      <c r="R87" s="333" t="s">
        <v>2</v>
      </c>
      <c r="S87" s="334">
        <f>$G$40/1000</f>
        <v>0.17299999999999999</v>
      </c>
      <c r="T87" s="332">
        <f>$C$40/1000</f>
        <v>2.7E-2</v>
      </c>
      <c r="U87" s="333" t="s">
        <v>2</v>
      </c>
      <c r="V87" s="334">
        <f>$G$40/1000</f>
        <v>0.17299999999999999</v>
      </c>
      <c r="W87" s="332">
        <f>$C$40/1000</f>
        <v>2.7E-2</v>
      </c>
      <c r="X87" s="333" t="s">
        <v>2</v>
      </c>
      <c r="Y87" s="334">
        <f>$G$40/1000</f>
        <v>0.17299999999999999</v>
      </c>
      <c r="Z87" s="332">
        <f>$C$40/1000</f>
        <v>2.7E-2</v>
      </c>
      <c r="AA87" s="333" t="s">
        <v>2</v>
      </c>
      <c r="AB87" s="334">
        <f>$G$40/1000</f>
        <v>0.17299999999999999</v>
      </c>
      <c r="AC87" s="332">
        <f>$C$40/1000</f>
        <v>2.7E-2</v>
      </c>
      <c r="AD87" s="333" t="s">
        <v>2</v>
      </c>
      <c r="AE87" s="334">
        <f>$G$40/1000</f>
        <v>0.17299999999999999</v>
      </c>
      <c r="AF87" s="332">
        <f>$C$40/1000</f>
        <v>2.7E-2</v>
      </c>
      <c r="AG87" s="333" t="s">
        <v>2</v>
      </c>
      <c r="AH87" s="334">
        <f>$G$40/1000</f>
        <v>0.17299999999999999</v>
      </c>
      <c r="AI87" s="332">
        <f>$C$40/1000</f>
        <v>2.7E-2</v>
      </c>
      <c r="AJ87" s="333" t="s">
        <v>2</v>
      </c>
      <c r="AK87" s="334">
        <f>$G$40/1000</f>
        <v>0.17299999999999999</v>
      </c>
      <c r="AL87" s="332">
        <f>$C$40/1000</f>
        <v>2.7E-2</v>
      </c>
      <c r="AM87" s="333" t="s">
        <v>2</v>
      </c>
      <c r="AN87" s="334">
        <f>$G$40/1000</f>
        <v>0.17299999999999999</v>
      </c>
      <c r="AO87" s="332">
        <f>$C$40/1000</f>
        <v>2.7E-2</v>
      </c>
      <c r="AP87" s="333" t="s">
        <v>2</v>
      </c>
      <c r="AQ87" s="334">
        <f>$G$40/1000</f>
        <v>0.17299999999999999</v>
      </c>
      <c r="AR87" s="284"/>
    </row>
    <row r="88" spans="1:81" s="230" customFormat="1" ht="16.5" customHeight="1" thickBot="1" x14ac:dyDescent="0.3">
      <c r="A88" s="2062"/>
      <c r="B88" s="335" t="s">
        <v>23</v>
      </c>
      <c r="C88" s="336"/>
      <c r="D88" s="336" t="s">
        <v>24</v>
      </c>
      <c r="E88" s="336"/>
      <c r="F88" s="336"/>
      <c r="G88" s="337"/>
      <c r="H88" s="338">
        <f>((I57^2+J57^2)*$G$41/1000)/($C$7*$C$7)</f>
        <v>2.1067795200000003E-4</v>
      </c>
      <c r="I88" s="339" t="s">
        <v>2</v>
      </c>
      <c r="J88" s="340">
        <f>((I57^2+J57^2)*$J$41)/(100*$C$7)</f>
        <v>4.6085802000000011E-3</v>
      </c>
      <c r="K88" s="338">
        <f>((L57^2+M57^2)*$G$41/1000)/($C$7*$C$7)</f>
        <v>2.6124076800000006E-4</v>
      </c>
      <c r="L88" s="339" t="s">
        <v>2</v>
      </c>
      <c r="M88" s="340">
        <f>((L57^2+M57^2)*$J$41)/(100*$C$7)</f>
        <v>5.7146418000000006E-3</v>
      </c>
      <c r="N88" s="338">
        <f>((O57^2+P57^2)*$G$41/1000)/($C$7*$C$7)</f>
        <v>2.43610368E-4</v>
      </c>
      <c r="O88" s="339" t="s">
        <v>2</v>
      </c>
      <c r="P88" s="340">
        <f>((O57^2+P57^2)*$J$41)/(100*$C$7)</f>
        <v>5.3289768000000003E-3</v>
      </c>
      <c r="Q88" s="338">
        <f>((R57^2+S57^2)*$G$41/1000)/($C$7*$C$7)</f>
        <v>2.70628224E-4</v>
      </c>
      <c r="R88" s="339" t="s">
        <v>2</v>
      </c>
      <c r="S88" s="340">
        <f>((R57^2+S57^2)*$J$41)/(100*$C$7)</f>
        <v>5.9199923999999999E-3</v>
      </c>
      <c r="T88" s="338">
        <f>((U57^2+V57^2)*$G$41/1000)/($C$7*$C$7)</f>
        <v>2.8345113599999994E-4</v>
      </c>
      <c r="U88" s="339" t="s">
        <v>2</v>
      </c>
      <c r="V88" s="340">
        <f>((U57^2+V57^2)*$J$41)/(100*$C$7)</f>
        <v>6.200493599999999E-3</v>
      </c>
      <c r="W88" s="338">
        <f>((X57^2+Y57^2)*$G$41/1000)/($C$7*$C$7)</f>
        <v>2.8992864E-4</v>
      </c>
      <c r="X88" s="339" t="s">
        <v>2</v>
      </c>
      <c r="Y88" s="340">
        <f>((X57^2+Y57^2)*$J$41)/(100*$C$7)</f>
        <v>6.3421890000000007E-3</v>
      </c>
      <c r="Z88" s="338">
        <f>((AA57^2+AB57^2)*$G$41/1000)/($C$7*$C$7)</f>
        <v>2.9708639999999993E-4</v>
      </c>
      <c r="AA88" s="339" t="s">
        <v>2</v>
      </c>
      <c r="AB88" s="340">
        <f>((AA57^2+AB57^2)*$J$41)/(100*$C$7)</f>
        <v>6.4987649999999984E-3</v>
      </c>
      <c r="AC88" s="338">
        <f>((AD57^2+AE57^2)*$G$41/1000)/($C$7*$C$7)</f>
        <v>2.5512729600000008E-4</v>
      </c>
      <c r="AD88" s="339" t="s">
        <v>2</v>
      </c>
      <c r="AE88" s="340">
        <f>((AD57^2+AE57^2)*$J$41)/(100*$C$7)</f>
        <v>5.5809096000000013E-3</v>
      </c>
      <c r="AF88" s="338">
        <f>((AG57^2+AH57^2)*$G$41/1000)/($C$7*$C$7)</f>
        <v>2.4256607999999997E-4</v>
      </c>
      <c r="AG88" s="339" t="s">
        <v>2</v>
      </c>
      <c r="AH88" s="340">
        <f>((AG57^2+AH57^2)*$J$41)/(100*$C$7)</f>
        <v>5.3061329999999993E-3</v>
      </c>
      <c r="AI88" s="338">
        <f>((AJ57^2+AK57^2)*$G$41/1000)/($C$7*$C$7)</f>
        <v>2.3310048000000001E-4</v>
      </c>
      <c r="AJ88" s="339" t="s">
        <v>2</v>
      </c>
      <c r="AK88" s="340">
        <f>((AJ57^2+AK57^2)*$J$41)/(100*$C$7)</f>
        <v>5.0990730000000008E-3</v>
      </c>
      <c r="AL88" s="338">
        <f>((AM57^2+AN57^2)*$G$41/1000)/($C$7*$C$7)</f>
        <v>2.2541759999999993E-4</v>
      </c>
      <c r="AM88" s="339" t="s">
        <v>2</v>
      </c>
      <c r="AN88" s="340">
        <f>((AM57^2+AN57^2)*$J$41)/(100*$C$7)</f>
        <v>4.9310099999999996E-3</v>
      </c>
      <c r="AO88" s="338">
        <f>((AP57^2+AQ57^2)*$G$41/1000)/($C$7*$C$7)</f>
        <v>2.00199936E-4</v>
      </c>
      <c r="AP88" s="339" t="s">
        <v>2</v>
      </c>
      <c r="AQ88" s="340">
        <f>((AP57^2+AQ57^2)*$J$41)/(100*$C$7)</f>
        <v>4.3793736E-3</v>
      </c>
      <c r="AR88" s="284"/>
    </row>
    <row r="89" spans="1:81" s="230" customFormat="1" ht="16.5" customHeight="1" x14ac:dyDescent="0.25">
      <c r="A89" s="2062"/>
      <c r="B89" s="341" t="s">
        <v>105</v>
      </c>
      <c r="C89" s="342">
        <v>27</v>
      </c>
      <c r="D89" s="343"/>
      <c r="E89" s="2121" t="s">
        <v>106</v>
      </c>
      <c r="F89" s="2121"/>
      <c r="G89" s="344">
        <v>173</v>
      </c>
      <c r="H89" s="345"/>
      <c r="I89" s="346"/>
      <c r="J89" s="347"/>
      <c r="K89" s="2092"/>
      <c r="L89" s="2111"/>
      <c r="M89" s="2093"/>
      <c r="N89" s="2092"/>
      <c r="O89" s="2111"/>
      <c r="P89" s="2093"/>
      <c r="Q89" s="2092"/>
      <c r="R89" s="2111"/>
      <c r="S89" s="2093"/>
      <c r="T89" s="2092"/>
      <c r="U89" s="2111"/>
      <c r="V89" s="2093"/>
      <c r="W89" s="2092"/>
      <c r="X89" s="2111"/>
      <c r="Y89" s="2093"/>
      <c r="Z89" s="2092"/>
      <c r="AA89" s="2111"/>
      <c r="AB89" s="2093"/>
      <c r="AC89" s="2092"/>
      <c r="AD89" s="2111"/>
      <c r="AE89" s="2093"/>
      <c r="AF89" s="2092"/>
      <c r="AG89" s="2111"/>
      <c r="AH89" s="2093"/>
      <c r="AI89" s="2092"/>
      <c r="AJ89" s="2111"/>
      <c r="AK89" s="2093"/>
      <c r="AL89" s="2092"/>
      <c r="AM89" s="2111"/>
      <c r="AN89" s="2093"/>
      <c r="AO89" s="2092"/>
      <c r="AP89" s="2111"/>
      <c r="AQ89" s="2093"/>
    </row>
    <row r="90" spans="1:81" s="230" customFormat="1" ht="16.5" customHeight="1" thickBot="1" x14ac:dyDescent="0.3">
      <c r="A90" s="2062"/>
      <c r="B90" s="258"/>
      <c r="C90" s="261"/>
      <c r="D90" s="263"/>
      <c r="E90" s="348"/>
      <c r="F90" s="348" t="s">
        <v>57</v>
      </c>
      <c r="G90" s="349">
        <v>120</v>
      </c>
      <c r="H90" s="2122" t="s">
        <v>56</v>
      </c>
      <c r="I90" s="2123"/>
      <c r="J90" s="351">
        <v>10.5</v>
      </c>
      <c r="K90" s="2094"/>
      <c r="L90" s="2112"/>
      <c r="M90" s="2095"/>
      <c r="N90" s="2094"/>
      <c r="O90" s="2112"/>
      <c r="P90" s="2095"/>
      <c r="Q90" s="2094"/>
      <c r="R90" s="2112"/>
      <c r="S90" s="2095"/>
      <c r="T90" s="2094"/>
      <c r="U90" s="2112"/>
      <c r="V90" s="2095"/>
      <c r="W90" s="2094"/>
      <c r="X90" s="2112"/>
      <c r="Y90" s="2095"/>
      <c r="Z90" s="2094"/>
      <c r="AA90" s="2112"/>
      <c r="AB90" s="2095"/>
      <c r="AC90" s="2094"/>
      <c r="AD90" s="2112"/>
      <c r="AE90" s="2095"/>
      <c r="AF90" s="2094"/>
      <c r="AG90" s="2112"/>
      <c r="AH90" s="2095"/>
      <c r="AI90" s="2094"/>
      <c r="AJ90" s="2112"/>
      <c r="AK90" s="2095"/>
      <c r="AL90" s="2094"/>
      <c r="AM90" s="2112"/>
      <c r="AN90" s="2095"/>
      <c r="AO90" s="2094"/>
      <c r="AP90" s="2112"/>
      <c r="AQ90" s="2095"/>
    </row>
    <row r="91" spans="1:81" s="230" customFormat="1" ht="16.5" customHeight="1" thickBot="1" x14ac:dyDescent="0.3">
      <c r="A91" s="2063"/>
      <c r="B91" s="2124" t="s">
        <v>29</v>
      </c>
      <c r="C91" s="2125"/>
      <c r="D91" s="2125"/>
      <c r="E91" s="2125"/>
      <c r="F91" s="2125"/>
      <c r="G91" s="2126"/>
      <c r="H91" s="352">
        <f>I57+H87+H88</f>
        <v>1.0432106779519998</v>
      </c>
      <c r="I91" s="353" t="s">
        <v>2</v>
      </c>
      <c r="J91" s="354">
        <f>J57+J87+J88</f>
        <v>0.43260858019999998</v>
      </c>
      <c r="K91" s="352">
        <f>L57+K87+K88</f>
        <v>1.1222612407679999</v>
      </c>
      <c r="L91" s="353" t="s">
        <v>2</v>
      </c>
      <c r="M91" s="354">
        <f>M57+M87+M88</f>
        <v>0.58071464179999999</v>
      </c>
      <c r="N91" s="352">
        <f>O57+N87+N88</f>
        <v>1.0972436103679999</v>
      </c>
      <c r="O91" s="353" t="s">
        <v>2</v>
      </c>
      <c r="P91" s="354">
        <f>P57+P87+P88</f>
        <v>0.53032897679999991</v>
      </c>
      <c r="Q91" s="352">
        <f>R57+Q87+Q88</f>
        <v>1.1482706282239998</v>
      </c>
      <c r="R91" s="353" t="s">
        <v>2</v>
      </c>
      <c r="S91" s="354">
        <f>S57+S87+S88</f>
        <v>0.56991999240000002</v>
      </c>
      <c r="T91" s="352">
        <f>U57+T87+T88</f>
        <v>1.1752834511359997</v>
      </c>
      <c r="U91" s="353" t="s">
        <v>2</v>
      </c>
      <c r="V91" s="354">
        <f>V57+V87+V88</f>
        <v>0.57720049359999992</v>
      </c>
      <c r="W91" s="352">
        <f>X57+W87+W88</f>
        <v>1.1842899286399999</v>
      </c>
      <c r="X91" s="353" t="s">
        <v>2</v>
      </c>
      <c r="Y91" s="354">
        <f>Y57+Y87+Y88</f>
        <v>0.59334218900000002</v>
      </c>
      <c r="Z91" s="352">
        <f>AA57+Z87+Z88</f>
        <v>1.2002970863999998</v>
      </c>
      <c r="AA91" s="353" t="s">
        <v>2</v>
      </c>
      <c r="AB91" s="354">
        <f>AB57+AB87+AB88</f>
        <v>0.59349876499999998</v>
      </c>
      <c r="AC91" s="352">
        <f>AD57+AC87+AC88</f>
        <v>1.1352551272960001</v>
      </c>
      <c r="AD91" s="353" t="s">
        <v>2</v>
      </c>
      <c r="AE91" s="354">
        <f>AE57+AE87+AE88</f>
        <v>0.49658090960000001</v>
      </c>
      <c r="AF91" s="352">
        <f>AG57+AF87+AF88</f>
        <v>1.1142425660799999</v>
      </c>
      <c r="AG91" s="353" t="s">
        <v>2</v>
      </c>
      <c r="AH91" s="354">
        <f>AH57+AH87+AH88</f>
        <v>0.46430613300000001</v>
      </c>
      <c r="AI91" s="352">
        <f>AJ57+AI87+AI88</f>
        <v>1.09523310048</v>
      </c>
      <c r="AJ91" s="353" t="s">
        <v>2</v>
      </c>
      <c r="AK91" s="354">
        <f>AK57+AK87+AK88</f>
        <v>0.44909907300000002</v>
      </c>
      <c r="AL91" s="352">
        <f>AM57+AL87+AL88</f>
        <v>1.0742254175999999</v>
      </c>
      <c r="AM91" s="353" t="s">
        <v>2</v>
      </c>
      <c r="AN91" s="354">
        <f>AN57+AN87+AN88</f>
        <v>0.45693101000000003</v>
      </c>
      <c r="AO91" s="352">
        <f>AP57+AO87+AO88</f>
        <v>1.0152001999359999</v>
      </c>
      <c r="AP91" s="353" t="s">
        <v>2</v>
      </c>
      <c r="AQ91" s="354">
        <f>AQ57+AQ87+AQ88</f>
        <v>0.43537937360000001</v>
      </c>
    </row>
    <row r="92" spans="1:81" s="230" customFormat="1" ht="16.5" customHeight="1" x14ac:dyDescent="0.25">
      <c r="A92" s="2061" t="s">
        <v>1</v>
      </c>
      <c r="B92" s="329" t="s">
        <v>22</v>
      </c>
      <c r="C92" s="330"/>
      <c r="D92" s="330" t="s">
        <v>45</v>
      </c>
      <c r="E92" s="330"/>
      <c r="F92" s="330"/>
      <c r="G92" s="330"/>
      <c r="H92" s="332">
        <f>$C$45/1000</f>
        <v>2.7E-2</v>
      </c>
      <c r="I92" s="333" t="s">
        <v>2</v>
      </c>
      <c r="J92" s="334">
        <f>$G$45/1000</f>
        <v>0.17299999999999999</v>
      </c>
      <c r="K92" s="332">
        <f>$C$45/1000</f>
        <v>2.7E-2</v>
      </c>
      <c r="L92" s="333" t="s">
        <v>2</v>
      </c>
      <c r="M92" s="334">
        <f>$G$45/1000</f>
        <v>0.17299999999999999</v>
      </c>
      <c r="N92" s="332">
        <f>$C$45/1000</f>
        <v>2.7E-2</v>
      </c>
      <c r="O92" s="333" t="s">
        <v>2</v>
      </c>
      <c r="P92" s="334">
        <f>$G$45/1000</f>
        <v>0.17299999999999999</v>
      </c>
      <c r="Q92" s="332">
        <f>$C$45/1000</f>
        <v>2.7E-2</v>
      </c>
      <c r="R92" s="333" t="s">
        <v>2</v>
      </c>
      <c r="S92" s="334">
        <f>$G$45/1000</f>
        <v>0.17299999999999999</v>
      </c>
      <c r="T92" s="332">
        <f>$C$45/1000</f>
        <v>2.7E-2</v>
      </c>
      <c r="U92" s="333" t="s">
        <v>2</v>
      </c>
      <c r="V92" s="334">
        <f>$G$45/1000</f>
        <v>0.17299999999999999</v>
      </c>
      <c r="W92" s="332">
        <f>$C$45/1000</f>
        <v>2.7E-2</v>
      </c>
      <c r="X92" s="333" t="s">
        <v>2</v>
      </c>
      <c r="Y92" s="334">
        <f>$G$45/1000</f>
        <v>0.17299999999999999</v>
      </c>
      <c r="Z92" s="332">
        <f>$C$45/1000</f>
        <v>2.7E-2</v>
      </c>
      <c r="AA92" s="333" t="s">
        <v>2</v>
      </c>
      <c r="AB92" s="334">
        <f>$G$45/1000</f>
        <v>0.17299999999999999</v>
      </c>
      <c r="AC92" s="332">
        <f>$C$45/1000</f>
        <v>2.7E-2</v>
      </c>
      <c r="AD92" s="333" t="s">
        <v>2</v>
      </c>
      <c r="AE92" s="334">
        <f>$G$45/1000</f>
        <v>0.17299999999999999</v>
      </c>
      <c r="AF92" s="332">
        <f>$C$45/1000</f>
        <v>2.7E-2</v>
      </c>
      <c r="AG92" s="333" t="s">
        <v>2</v>
      </c>
      <c r="AH92" s="334">
        <f>$G$45/1000</f>
        <v>0.17299999999999999</v>
      </c>
      <c r="AI92" s="332">
        <f>$C$45/1000</f>
        <v>2.7E-2</v>
      </c>
      <c r="AJ92" s="333" t="s">
        <v>2</v>
      </c>
      <c r="AK92" s="334">
        <f>$G$45/1000</f>
        <v>0.17299999999999999</v>
      </c>
      <c r="AL92" s="332">
        <f>$C$45/1000</f>
        <v>2.7E-2</v>
      </c>
      <c r="AM92" s="333" t="s">
        <v>2</v>
      </c>
      <c r="AN92" s="334">
        <f>$G$45/1000</f>
        <v>0.17299999999999999</v>
      </c>
      <c r="AO92" s="332">
        <f>$C$45/1000</f>
        <v>2.7E-2</v>
      </c>
      <c r="AP92" s="333" t="s">
        <v>2</v>
      </c>
      <c r="AQ92" s="334">
        <f>$G$45/1000</f>
        <v>0.17299999999999999</v>
      </c>
      <c r="AR92" s="284"/>
      <c r="AT92" s="249"/>
    </row>
    <row r="93" spans="1:81" s="230" customFormat="1" ht="16.5" customHeight="1" thickBot="1" x14ac:dyDescent="0.3">
      <c r="A93" s="2062"/>
      <c r="B93" s="335" t="s">
        <v>23</v>
      </c>
      <c r="C93" s="336"/>
      <c r="D93" s="336" t="s">
        <v>24</v>
      </c>
      <c r="E93" s="336"/>
      <c r="F93" s="336"/>
      <c r="G93" s="355"/>
      <c r="H93" s="338">
        <f>((I63^2+J63^2)*$G$46/1000)/($C$13*$C$7)</f>
        <v>1.1129550720000003E-3</v>
      </c>
      <c r="I93" s="339" t="s">
        <v>2</v>
      </c>
      <c r="J93" s="340">
        <f>((I63^2+J63^2)*$J$46)/(100*$C$13)</f>
        <v>2.4345892200000004E-2</v>
      </c>
      <c r="K93" s="338">
        <f>((L63^2+M63^2)*$G$46/1000)/($C$13*$C$7)</f>
        <v>1.3044806399999996E-3</v>
      </c>
      <c r="L93" s="339" t="s">
        <v>2</v>
      </c>
      <c r="M93" s="340">
        <f>((L63^2+M63^2)*$J$46)/(100*$C$13)</f>
        <v>2.8535513999999988E-2</v>
      </c>
      <c r="N93" s="338">
        <f>((O63^2+P63^2)*$G$46/1000)/($C$13*$C$7)</f>
        <v>1.2492476160000003E-3</v>
      </c>
      <c r="O93" s="339" t="s">
        <v>2</v>
      </c>
      <c r="P93" s="340">
        <f>((O63^2+P63^2)*$J$46)/(100*$C$13)</f>
        <v>2.7327291600000008E-2</v>
      </c>
      <c r="Q93" s="338">
        <f>((R63^2+S63^2)*$G$46/1000)/($C$13*$C$7)</f>
        <v>1.2809573760000001E-3</v>
      </c>
      <c r="R93" s="339" t="s">
        <v>2</v>
      </c>
      <c r="S93" s="340">
        <f>((R63^2+S63^2)*$J$46)/(100*$C$13)</f>
        <v>2.8020942600000008E-2</v>
      </c>
      <c r="T93" s="338">
        <f>((U63^2+V63^2)*$G$46/1000)/($C$13*$C$7)</f>
        <v>1.5090574079999997E-3</v>
      </c>
      <c r="U93" s="339" t="s">
        <v>2</v>
      </c>
      <c r="V93" s="340">
        <f>((U63^2+V63^2)*$J$46)/(100*$C$13)</f>
        <v>3.3010630799999996E-2</v>
      </c>
      <c r="W93" s="338">
        <f>((X63^2+Y63^2)*$G$46/1000)/($C$13*$C$7)</f>
        <v>1.2726883199999999E-3</v>
      </c>
      <c r="X93" s="339" t="s">
        <v>2</v>
      </c>
      <c r="Y93" s="340">
        <f>((X63^2+Y63^2)*$J$46)/(100*$C$13)</f>
        <v>2.7840057000000001E-2</v>
      </c>
      <c r="Z93" s="338">
        <f>((AA63^2+AB63^2)*$G$46/1000)/($C$13*$C$7)</f>
        <v>1.252310208E-3</v>
      </c>
      <c r="AA93" s="339" t="s">
        <v>2</v>
      </c>
      <c r="AB93" s="340">
        <f>((AA63^2+AB63^2)*$J$46)/(100*$C$13)</f>
        <v>2.7394285799999994E-2</v>
      </c>
      <c r="AC93" s="338">
        <f>((AD63^2+AE63^2)*$G$46/1000)/($C$13*$C$7)</f>
        <v>1.3251644159999998E-3</v>
      </c>
      <c r="AD93" s="339" t="s">
        <v>2</v>
      </c>
      <c r="AE93" s="340">
        <f>((AD63^2+AE63^2)*$J$46)/(100*$C$13)</f>
        <v>2.8987971599999999E-2</v>
      </c>
      <c r="AF93" s="338">
        <f>((AG63^2+AH63^2)*$G$46/1000)/($C$13*$C$7)</f>
        <v>1.2746175359999996E-3</v>
      </c>
      <c r="AG93" s="339" t="s">
        <v>2</v>
      </c>
      <c r="AH93" s="340">
        <f>((AG63^2+AH63^2)*$J$46)/(100*$C$13)</f>
        <v>2.7882258599999994E-2</v>
      </c>
      <c r="AI93" s="338">
        <f>((AJ63^2+AK63^2)*$G$46/1000)/($C$13*$C$7)</f>
        <v>1.2261505920000001E-3</v>
      </c>
      <c r="AJ93" s="339" t="s">
        <v>2</v>
      </c>
      <c r="AK93" s="340">
        <f>((AJ63^2+AK63^2)*$J$46)/(100*$C$13)</f>
        <v>2.6822044200000006E-2</v>
      </c>
      <c r="AL93" s="338">
        <f>((AM63^2+AN63^2)*$G$46/1000)/($C$13*$C$7)</f>
        <v>1.1924785920000001E-3</v>
      </c>
      <c r="AM93" s="339" t="s">
        <v>2</v>
      </c>
      <c r="AN93" s="340">
        <f>((AM63^2+AN63^2)*$J$46)/(100*$C$13)</f>
        <v>2.6085469200000006E-2</v>
      </c>
      <c r="AO93" s="338">
        <f>((AP63^2+AQ63^2)*$G$46/1000)/($C$13*$C$7)</f>
        <v>1.2118748160000004E-3</v>
      </c>
      <c r="AP93" s="339" t="s">
        <v>2</v>
      </c>
      <c r="AQ93" s="340">
        <f>((AP63^2+AQ63^2)*$J$46)/(100*$C$13)</f>
        <v>2.6509761600000008E-2</v>
      </c>
      <c r="AR93" s="284"/>
      <c r="AS93" s="356"/>
      <c r="AT93" s="284"/>
    </row>
    <row r="94" spans="1:81" s="230" customFormat="1" ht="16.5" customHeight="1" x14ac:dyDescent="0.25">
      <c r="A94" s="2062"/>
      <c r="B94" s="341" t="s">
        <v>105</v>
      </c>
      <c r="C94" s="342">
        <v>27</v>
      </c>
      <c r="D94" s="343"/>
      <c r="E94" s="2121" t="s">
        <v>106</v>
      </c>
      <c r="F94" s="2121"/>
      <c r="G94" s="344">
        <v>173</v>
      </c>
      <c r="H94" s="345"/>
      <c r="I94" s="346"/>
      <c r="J94" s="357"/>
      <c r="K94" s="2127"/>
      <c r="L94" s="2128"/>
      <c r="M94" s="2129"/>
      <c r="N94" s="2127"/>
      <c r="O94" s="2128"/>
      <c r="P94" s="2129"/>
      <c r="Q94" s="2127"/>
      <c r="R94" s="2128"/>
      <c r="S94" s="2129"/>
      <c r="T94" s="2127"/>
      <c r="U94" s="2128"/>
      <c r="V94" s="2129"/>
      <c r="W94" s="2127"/>
      <c r="X94" s="2128"/>
      <c r="Y94" s="2129"/>
      <c r="Z94" s="2127"/>
      <c r="AA94" s="2128"/>
      <c r="AB94" s="2129"/>
      <c r="AC94" s="2127"/>
      <c r="AD94" s="2128"/>
      <c r="AE94" s="2129"/>
      <c r="AF94" s="2127"/>
      <c r="AG94" s="2128"/>
      <c r="AH94" s="2129"/>
      <c r="AI94" s="2127"/>
      <c r="AJ94" s="2128"/>
      <c r="AK94" s="2129"/>
      <c r="AL94" s="2127"/>
      <c r="AM94" s="2128"/>
      <c r="AN94" s="2129"/>
      <c r="AO94" s="2127"/>
      <c r="AP94" s="2128"/>
      <c r="AQ94" s="2129"/>
    </row>
    <row r="95" spans="1:81" s="230" customFormat="1" ht="16.5" customHeight="1" thickBot="1" x14ac:dyDescent="0.3">
      <c r="A95" s="2062"/>
      <c r="B95" s="358"/>
      <c r="C95" s="328"/>
      <c r="D95" s="231"/>
      <c r="E95" s="348"/>
      <c r="F95" s="348" t="s">
        <v>57</v>
      </c>
      <c r="G95" s="349">
        <v>120</v>
      </c>
      <c r="H95" s="2122" t="s">
        <v>56</v>
      </c>
      <c r="I95" s="2123"/>
      <c r="J95" s="351">
        <v>10.5</v>
      </c>
      <c r="K95" s="2130"/>
      <c r="L95" s="2131"/>
      <c r="M95" s="2132"/>
      <c r="N95" s="2130"/>
      <c r="O95" s="2131"/>
      <c r="P95" s="2132"/>
      <c r="Q95" s="2130"/>
      <c r="R95" s="2131"/>
      <c r="S95" s="2132"/>
      <c r="T95" s="2130"/>
      <c r="U95" s="2131"/>
      <c r="V95" s="2132"/>
      <c r="W95" s="2130"/>
      <c r="X95" s="2131"/>
      <c r="Y95" s="2132"/>
      <c r="Z95" s="2130"/>
      <c r="AA95" s="2131"/>
      <c r="AB95" s="2132"/>
      <c r="AC95" s="2130"/>
      <c r="AD95" s="2131"/>
      <c r="AE95" s="2132"/>
      <c r="AF95" s="2130"/>
      <c r="AG95" s="2131"/>
      <c r="AH95" s="2132"/>
      <c r="AI95" s="2130"/>
      <c r="AJ95" s="2131"/>
      <c r="AK95" s="2132"/>
      <c r="AL95" s="2130"/>
      <c r="AM95" s="2131"/>
      <c r="AN95" s="2132"/>
      <c r="AO95" s="2130"/>
      <c r="AP95" s="2131"/>
      <c r="AQ95" s="2132"/>
    </row>
    <row r="96" spans="1:81" s="363" customFormat="1" ht="16.5" customHeight="1" thickBot="1" x14ac:dyDescent="0.3">
      <c r="A96" s="2063"/>
      <c r="B96" s="2124" t="s">
        <v>29</v>
      </c>
      <c r="C96" s="2125"/>
      <c r="D96" s="2125"/>
      <c r="E96" s="2125"/>
      <c r="F96" s="2125"/>
      <c r="G96" s="2126"/>
      <c r="H96" s="360">
        <f>I63+H92+H93</f>
        <v>2.3491129550720005</v>
      </c>
      <c r="I96" s="361" t="s">
        <v>2</v>
      </c>
      <c r="J96" s="362">
        <f>J63+J92+J93</f>
        <v>0.8373458922</v>
      </c>
      <c r="K96" s="360">
        <f>L63+K92+K93</f>
        <v>2.4793044806399998</v>
      </c>
      <c r="L96" s="361" t="s">
        <v>2</v>
      </c>
      <c r="M96" s="362">
        <f>M63+M92+M93</f>
        <v>1.0885355140000001</v>
      </c>
      <c r="N96" s="360">
        <f>O63+N92+N93</f>
        <v>2.4412492476160006</v>
      </c>
      <c r="O96" s="361" t="s">
        <v>2</v>
      </c>
      <c r="P96" s="362">
        <f>P63+P92+P93</f>
        <v>1.0273272916</v>
      </c>
      <c r="Q96" s="360">
        <f>R63+Q92+Q93</f>
        <v>2.4912809573760004</v>
      </c>
      <c r="R96" s="361" t="s">
        <v>2</v>
      </c>
      <c r="S96" s="362">
        <f>S63+S92+S93</f>
        <v>0.97902094260000005</v>
      </c>
      <c r="T96" s="360">
        <f>U63+T92+T93</f>
        <v>2.671509057408</v>
      </c>
      <c r="U96" s="361" t="s">
        <v>2</v>
      </c>
      <c r="V96" s="362">
        <f>V63+V92+V93</f>
        <v>1.1410106308000001</v>
      </c>
      <c r="W96" s="360">
        <f>X63+W92+W93</f>
        <v>2.5122726883199999</v>
      </c>
      <c r="X96" s="361" t="s">
        <v>2</v>
      </c>
      <c r="Y96" s="362">
        <f>Y63+Y92+Y93</f>
        <v>0.87784005700000012</v>
      </c>
      <c r="Z96" s="360">
        <f>AA63+Z92+Z93</f>
        <v>2.4932523102080002</v>
      </c>
      <c r="AA96" s="361" t="s">
        <v>2</v>
      </c>
      <c r="AB96" s="362">
        <f>AB63+AB92+AB93</f>
        <v>0.8683942858</v>
      </c>
      <c r="AC96" s="360">
        <f>AD63+AC92+AC93</f>
        <v>2.561325164416</v>
      </c>
      <c r="AD96" s="361" t="s">
        <v>2</v>
      </c>
      <c r="AE96" s="362">
        <f>AE63+AE92+AE93</f>
        <v>0.8989879716000001</v>
      </c>
      <c r="AF96" s="360">
        <f>AG63+AF92+AF93</f>
        <v>2.5112746175359999</v>
      </c>
      <c r="AG96" s="361" t="s">
        <v>2</v>
      </c>
      <c r="AH96" s="362">
        <f>AH63+AH92+AH93</f>
        <v>0.88888225860000003</v>
      </c>
      <c r="AI96" s="360">
        <f>AJ63+AI92+AI93</f>
        <v>2.4632261505920003</v>
      </c>
      <c r="AJ96" s="361" t="s">
        <v>2</v>
      </c>
      <c r="AK96" s="362">
        <f>AK63+AK92+AK93</f>
        <v>0.87582204419999998</v>
      </c>
      <c r="AL96" s="360">
        <f>AM63+AL92+AL93</f>
        <v>2.427192478592</v>
      </c>
      <c r="AM96" s="361" t="s">
        <v>2</v>
      </c>
      <c r="AN96" s="362">
        <f>AN63+AN92+AN93</f>
        <v>0.87408546920000008</v>
      </c>
      <c r="AO96" s="360">
        <f>AP63+AO92+AO93</f>
        <v>2.4462118748160004</v>
      </c>
      <c r="AP96" s="361" t="s">
        <v>2</v>
      </c>
      <c r="AQ96" s="362">
        <f>AQ63+AQ92+AQ93</f>
        <v>0.88150976159999994</v>
      </c>
      <c r="CC96" s="364"/>
    </row>
    <row r="97" spans="1:43" s="230" customFormat="1" ht="16.5" customHeight="1" x14ac:dyDescent="0.25">
      <c r="A97" s="2104" t="s">
        <v>20</v>
      </c>
      <c r="B97" s="2105"/>
      <c r="C97" s="2105"/>
      <c r="D97" s="2105"/>
      <c r="E97" s="2105"/>
      <c r="F97" s="2105"/>
      <c r="G97" s="2133"/>
      <c r="H97" s="365"/>
      <c r="I97" s="366"/>
      <c r="J97" s="347"/>
      <c r="K97" s="365"/>
      <c r="L97" s="366"/>
      <c r="M97" s="347"/>
      <c r="N97" s="365"/>
      <c r="O97" s="366"/>
      <c r="P97" s="347"/>
      <c r="Q97" s="365"/>
      <c r="R97" s="366"/>
      <c r="S97" s="347"/>
      <c r="T97" s="365"/>
      <c r="U97" s="366"/>
      <c r="V97" s="347"/>
      <c r="W97" s="365"/>
      <c r="X97" s="366"/>
      <c r="Y97" s="347"/>
      <c r="Z97" s="365"/>
      <c r="AA97" s="366"/>
      <c r="AB97" s="347"/>
      <c r="AC97" s="365"/>
      <c r="AD97" s="366"/>
      <c r="AE97" s="347"/>
      <c r="AF97" s="365"/>
      <c r="AG97" s="366"/>
      <c r="AH97" s="347"/>
      <c r="AI97" s="365"/>
      <c r="AJ97" s="366"/>
      <c r="AK97" s="347"/>
      <c r="AL97" s="365"/>
      <c r="AM97" s="366"/>
      <c r="AN97" s="347"/>
      <c r="AO97" s="365"/>
      <c r="AP97" s="366"/>
      <c r="AQ97" s="347"/>
    </row>
    <row r="98" spans="1:43" s="230" customFormat="1" ht="16.5" customHeight="1" thickBot="1" x14ac:dyDescent="0.3">
      <c r="A98" s="367" t="s">
        <v>21</v>
      </c>
      <c r="B98" s="368"/>
      <c r="C98" s="369"/>
      <c r="D98" s="368"/>
      <c r="E98" s="263"/>
      <c r="F98" s="368" t="s">
        <v>25</v>
      </c>
      <c r="G98" s="262"/>
      <c r="H98" s="370">
        <f>SUM(H91,H96)</f>
        <v>3.3923236330240005</v>
      </c>
      <c r="I98" s="371" t="s">
        <v>2</v>
      </c>
      <c r="J98" s="372">
        <f>SUM(J91,J96)</f>
        <v>1.2699544724</v>
      </c>
      <c r="K98" s="370">
        <f>SUM(K91,K96)</f>
        <v>3.6015657214079999</v>
      </c>
      <c r="L98" s="371" t="s">
        <v>2</v>
      </c>
      <c r="M98" s="372">
        <f>SUM(M91,M96)</f>
        <v>1.6692501558000001</v>
      </c>
      <c r="N98" s="370">
        <f>SUM(N91,N96)</f>
        <v>3.5384928579840005</v>
      </c>
      <c r="O98" s="371" t="s">
        <v>2</v>
      </c>
      <c r="P98" s="372">
        <f>SUM(P91,P96)</f>
        <v>1.5576562683999999</v>
      </c>
      <c r="Q98" s="370">
        <f>SUM(Q91,Q96)</f>
        <v>3.6395515856000005</v>
      </c>
      <c r="R98" s="371" t="s">
        <v>2</v>
      </c>
      <c r="S98" s="372">
        <f>SUM(S91,S96)</f>
        <v>1.5489409350000001</v>
      </c>
      <c r="T98" s="370">
        <f>SUM(T91,T96)</f>
        <v>3.8467925085439996</v>
      </c>
      <c r="U98" s="371" t="s">
        <v>2</v>
      </c>
      <c r="V98" s="372">
        <f>SUM(V91,V96)</f>
        <v>1.7182111244</v>
      </c>
      <c r="W98" s="370">
        <f>SUM(W91,W96)</f>
        <v>3.6965626169599997</v>
      </c>
      <c r="X98" s="371" t="s">
        <v>2</v>
      </c>
      <c r="Y98" s="372">
        <f>SUM(Y91,Y96)</f>
        <v>1.4711822460000001</v>
      </c>
      <c r="Z98" s="370">
        <f>SUM(Z91,Z96)</f>
        <v>3.6935493966079997</v>
      </c>
      <c r="AA98" s="371" t="s">
        <v>2</v>
      </c>
      <c r="AB98" s="372">
        <f>SUM(AB91,AB96)</f>
        <v>1.4618930508000001</v>
      </c>
      <c r="AC98" s="370">
        <f>SUM(AC91,AC96)</f>
        <v>3.6965802917120003</v>
      </c>
      <c r="AD98" s="371" t="s">
        <v>2</v>
      </c>
      <c r="AE98" s="372">
        <f>SUM(AE91,AE96)</f>
        <v>1.3955688812</v>
      </c>
      <c r="AF98" s="370">
        <f>SUM(AF91,AF96)</f>
        <v>3.6255171836160001</v>
      </c>
      <c r="AG98" s="371" t="s">
        <v>2</v>
      </c>
      <c r="AH98" s="372">
        <f>SUM(AH91,AH96)</f>
        <v>1.3531883916</v>
      </c>
      <c r="AI98" s="370">
        <f>SUM(AI91,AI96)</f>
        <v>3.5584592510720006</v>
      </c>
      <c r="AJ98" s="371" t="s">
        <v>2</v>
      </c>
      <c r="AK98" s="372">
        <f>SUM(AK91,AK96)</f>
        <v>1.3249211171999999</v>
      </c>
      <c r="AL98" s="370">
        <f>SUM(AL91,AL96)</f>
        <v>3.5014178961919997</v>
      </c>
      <c r="AM98" s="371" t="s">
        <v>2</v>
      </c>
      <c r="AN98" s="372">
        <f>SUM(AN91,AN96)</f>
        <v>1.3310164792000001</v>
      </c>
      <c r="AO98" s="370">
        <f>SUM(AO91,AO96)</f>
        <v>3.4614120747520003</v>
      </c>
      <c r="AP98" s="371" t="s">
        <v>2</v>
      </c>
      <c r="AQ98" s="372">
        <f>SUM(AQ91,AQ96)</f>
        <v>1.3168891351999998</v>
      </c>
    </row>
    <row r="99" spans="1:43" s="230" customFormat="1" ht="16.5" customHeight="1" x14ac:dyDescent="0.25">
      <c r="A99" s="373" t="s">
        <v>107</v>
      </c>
      <c r="B99" s="363"/>
      <c r="C99" s="363"/>
      <c r="D99" s="363"/>
      <c r="E99" s="363"/>
      <c r="F99" s="363"/>
      <c r="G99" s="363"/>
      <c r="H99" s="363"/>
      <c r="I99" s="374">
        <f>J98/H98</f>
        <v>0.37436123724667492</v>
      </c>
      <c r="J99" s="363"/>
      <c r="K99" s="363"/>
      <c r="L99" s="374">
        <f>M98/K98</f>
        <v>0.46347902132615304</v>
      </c>
      <c r="M99" s="363"/>
      <c r="N99" s="363"/>
      <c r="O99" s="374">
        <f>P98/N98</f>
        <v>0.44020330997289325</v>
      </c>
      <c r="P99" s="363"/>
      <c r="Q99" s="363"/>
      <c r="R99" s="374">
        <f>S98/Q98</f>
        <v>0.42558565212495769</v>
      </c>
      <c r="S99" s="363"/>
      <c r="T99" s="363"/>
      <c r="U99" s="374">
        <f>V98/T98</f>
        <v>0.44666072333865969</v>
      </c>
      <c r="V99" s="363"/>
      <c r="W99" s="363"/>
      <c r="X99" s="374">
        <f>Y98/W98</f>
        <v>0.39798656169116364</v>
      </c>
      <c r="Y99" s="363"/>
      <c r="Z99" s="363"/>
      <c r="AA99" s="374">
        <f>AB98/Z98</f>
        <v>0.39579626365428905</v>
      </c>
      <c r="AB99" s="363"/>
      <c r="AC99" s="363"/>
      <c r="AD99" s="374">
        <f>AE98/AC98</f>
        <v>0.37752970883087977</v>
      </c>
      <c r="AE99" s="363"/>
      <c r="AF99" s="363"/>
      <c r="AG99" s="374">
        <f>AH98/AF98</f>
        <v>0.37324009874099229</v>
      </c>
      <c r="AH99" s="363"/>
      <c r="AI99" s="363"/>
      <c r="AJ99" s="374">
        <f>AK98/AI98</f>
        <v>0.3723299955734668</v>
      </c>
      <c r="AK99" s="363"/>
      <c r="AL99" s="363"/>
      <c r="AM99" s="374">
        <f>AN98/AL98</f>
        <v>0.38013642434613693</v>
      </c>
      <c r="AN99" s="363"/>
      <c r="AO99" s="363"/>
      <c r="AP99" s="374">
        <f>AQ98/AO98</f>
        <v>0.38044852989494204</v>
      </c>
      <c r="AQ99" s="363"/>
    </row>
    <row r="100" spans="1:43" s="375" customFormat="1" ht="16.5" customHeight="1" x14ac:dyDescent="0.25">
      <c r="A100" s="373" t="s">
        <v>65</v>
      </c>
      <c r="C100" s="373"/>
      <c r="D100" s="373"/>
      <c r="E100" s="373"/>
      <c r="F100" s="373"/>
      <c r="T100" s="376"/>
      <c r="U100" s="377"/>
    </row>
    <row r="101" spans="1:43" ht="14.25" x14ac:dyDescent="0.2">
      <c r="H101" s="386"/>
      <c r="I101" s="387"/>
      <c r="J101" s="387"/>
      <c r="K101" s="386"/>
      <c r="L101" s="387"/>
      <c r="M101" s="387"/>
      <c r="N101" s="386"/>
      <c r="O101" s="387"/>
      <c r="P101" s="387"/>
      <c r="Q101" s="386"/>
      <c r="R101" s="387"/>
      <c r="S101" s="387"/>
      <c r="T101" s="386"/>
      <c r="U101" s="387"/>
      <c r="V101" s="387"/>
      <c r="W101" s="386"/>
      <c r="X101" s="387"/>
      <c r="Y101" s="387"/>
      <c r="Z101" s="386"/>
      <c r="AA101" s="387"/>
      <c r="AB101" s="387"/>
      <c r="AC101" s="386"/>
      <c r="AD101" s="387"/>
      <c r="AE101" s="387"/>
      <c r="AF101" s="386"/>
      <c r="AG101" s="387"/>
      <c r="AH101" s="387"/>
      <c r="AI101" s="386"/>
      <c r="AJ101" s="387"/>
      <c r="AK101" s="387"/>
      <c r="AL101" s="386"/>
      <c r="AM101" s="387"/>
      <c r="AN101" s="387"/>
      <c r="AO101" s="386"/>
      <c r="AP101" s="387"/>
      <c r="AQ101" s="387"/>
    </row>
    <row r="102" spans="1:43" ht="14.25" x14ac:dyDescent="0.2">
      <c r="H102" s="386"/>
      <c r="I102" s="387"/>
      <c r="J102" s="387"/>
      <c r="K102" s="386"/>
      <c r="L102" s="387"/>
      <c r="M102" s="387"/>
      <c r="N102" s="386"/>
      <c r="O102" s="387"/>
      <c r="P102" s="387"/>
      <c r="Q102" s="386"/>
      <c r="R102" s="387"/>
      <c r="S102" s="387"/>
      <c r="T102" s="386"/>
      <c r="U102" s="387"/>
      <c r="V102" s="387"/>
      <c r="W102" s="386"/>
      <c r="X102" s="387"/>
      <c r="Y102" s="387"/>
      <c r="Z102" s="386"/>
      <c r="AA102" s="387"/>
      <c r="AB102" s="387"/>
      <c r="AC102" s="386"/>
      <c r="AD102" s="387"/>
      <c r="AE102" s="387"/>
      <c r="AF102" s="386"/>
      <c r="AG102" s="387"/>
      <c r="AH102" s="387"/>
      <c r="AI102" s="386"/>
      <c r="AJ102" s="387"/>
      <c r="AK102" s="387"/>
      <c r="AL102" s="386"/>
      <c r="AM102" s="387"/>
      <c r="AN102" s="387"/>
      <c r="AO102" s="386"/>
      <c r="AP102" s="387"/>
      <c r="AQ102" s="387"/>
    </row>
    <row r="104" spans="1:43" x14ac:dyDescent="0.2">
      <c r="I104" s="388"/>
      <c r="J104" s="388"/>
      <c r="AP104" s="388"/>
      <c r="AQ104" s="388"/>
    </row>
    <row r="105" spans="1:43" x14ac:dyDescent="0.2">
      <c r="AP105" s="388"/>
      <c r="AQ105" s="388"/>
    </row>
    <row r="106" spans="1:43" x14ac:dyDescent="0.2">
      <c r="I106" s="388"/>
      <c r="J106" s="388"/>
    </row>
    <row r="107" spans="1:43" x14ac:dyDescent="0.2">
      <c r="I107" s="388"/>
      <c r="J107" s="388"/>
      <c r="AP107" s="388"/>
      <c r="AQ107" s="388"/>
    </row>
  </sheetData>
  <mergeCells count="380">
    <mergeCell ref="A97:G97"/>
    <mergeCell ref="W94:Y95"/>
    <mergeCell ref="Z94:AB95"/>
    <mergeCell ref="AC94:AE95"/>
    <mergeCell ref="AF94:AH95"/>
    <mergeCell ref="AI94:AK95"/>
    <mergeCell ref="AL94:AN95"/>
    <mergeCell ref="A92:A96"/>
    <mergeCell ref="E94:F94"/>
    <mergeCell ref="K94:M95"/>
    <mergeCell ref="N94:P95"/>
    <mergeCell ref="Q94:S95"/>
    <mergeCell ref="T94:V95"/>
    <mergeCell ref="AO94:AQ95"/>
    <mergeCell ref="H95:I95"/>
    <mergeCell ref="B96:G96"/>
    <mergeCell ref="AI89:AK90"/>
    <mergeCell ref="AL89:AN90"/>
    <mergeCell ref="AO89:AQ90"/>
    <mergeCell ref="H90:I90"/>
    <mergeCell ref="B91:G91"/>
    <mergeCell ref="N89:P90"/>
    <mergeCell ref="Q89:S90"/>
    <mergeCell ref="T89:V90"/>
    <mergeCell ref="W89:Y90"/>
    <mergeCell ref="Z89:AB90"/>
    <mergeCell ref="AC89:AE90"/>
    <mergeCell ref="A82:G82"/>
    <mergeCell ref="A83:G83"/>
    <mergeCell ref="A84:G84"/>
    <mergeCell ref="A87:A91"/>
    <mergeCell ref="E89:F89"/>
    <mergeCell ref="K89:M90"/>
    <mergeCell ref="AF89:AH90"/>
    <mergeCell ref="AF73:AH74"/>
    <mergeCell ref="AI73:AK74"/>
    <mergeCell ref="AL73:AN74"/>
    <mergeCell ref="AO73:AQ74"/>
    <mergeCell ref="A74:C74"/>
    <mergeCell ref="K73:M74"/>
    <mergeCell ref="N73:P74"/>
    <mergeCell ref="Q73:S74"/>
    <mergeCell ref="T73:V74"/>
    <mergeCell ref="A68:C69"/>
    <mergeCell ref="D68:E69"/>
    <mergeCell ref="F68:G68"/>
    <mergeCell ref="F69:G69"/>
    <mergeCell ref="T67:V67"/>
    <mergeCell ref="W67:Y67"/>
    <mergeCell ref="Z67:AB67"/>
    <mergeCell ref="AC67:AE67"/>
    <mergeCell ref="W73:Y74"/>
    <mergeCell ref="Z73:AB74"/>
    <mergeCell ref="E70:F70"/>
    <mergeCell ref="E71:F71"/>
    <mergeCell ref="A73:C73"/>
    <mergeCell ref="D73:E73"/>
    <mergeCell ref="F73:G73"/>
    <mergeCell ref="H73:J74"/>
    <mergeCell ref="AC73:AE74"/>
    <mergeCell ref="Q66:S66"/>
    <mergeCell ref="T66:V66"/>
    <mergeCell ref="W66:Y66"/>
    <mergeCell ref="Z66:AB66"/>
    <mergeCell ref="AO66:AQ66"/>
    <mergeCell ref="D67:G67"/>
    <mergeCell ref="H67:J67"/>
    <mergeCell ref="K67:M67"/>
    <mergeCell ref="N67:P67"/>
    <mergeCell ref="Q67:S67"/>
    <mergeCell ref="AF67:AH67"/>
    <mergeCell ref="AI67:AK67"/>
    <mergeCell ref="AC66:AE66"/>
    <mergeCell ref="AF66:AH66"/>
    <mergeCell ref="AI66:AK66"/>
    <mergeCell ref="AL66:AN66"/>
    <mergeCell ref="AL67:AN67"/>
    <mergeCell ref="AO67:AQ67"/>
    <mergeCell ref="Q65:S65"/>
    <mergeCell ref="T65:V65"/>
    <mergeCell ref="W65:Y65"/>
    <mergeCell ref="Z65:AB65"/>
    <mergeCell ref="AC65:AE65"/>
    <mergeCell ref="AF65:AH65"/>
    <mergeCell ref="AI65:AK65"/>
    <mergeCell ref="AL65:AN65"/>
    <mergeCell ref="AO65:AQ65"/>
    <mergeCell ref="Q64:S64"/>
    <mergeCell ref="T64:V64"/>
    <mergeCell ref="W64:Y64"/>
    <mergeCell ref="Z64:AB64"/>
    <mergeCell ref="AC64:AE64"/>
    <mergeCell ref="AF64:AH64"/>
    <mergeCell ref="AI64:AK64"/>
    <mergeCell ref="AL64:AN64"/>
    <mergeCell ref="AO64:AQ64"/>
    <mergeCell ref="A62:B67"/>
    <mergeCell ref="C62:C67"/>
    <mergeCell ref="D62:E63"/>
    <mergeCell ref="F62:G62"/>
    <mergeCell ref="F63:G63"/>
    <mergeCell ref="D64:G64"/>
    <mergeCell ref="H64:J64"/>
    <mergeCell ref="K64:M64"/>
    <mergeCell ref="N64:P64"/>
    <mergeCell ref="D65:E66"/>
    <mergeCell ref="F65:G65"/>
    <mergeCell ref="H65:J65"/>
    <mergeCell ref="K65:M65"/>
    <mergeCell ref="N65:P65"/>
    <mergeCell ref="F66:G66"/>
    <mergeCell ref="H66:J66"/>
    <mergeCell ref="K66:M66"/>
    <mergeCell ref="N66:P66"/>
    <mergeCell ref="Z60:AB60"/>
    <mergeCell ref="AC60:AE60"/>
    <mergeCell ref="AF60:AH60"/>
    <mergeCell ref="AI60:AK60"/>
    <mergeCell ref="AL60:AN60"/>
    <mergeCell ref="AO60:AQ60"/>
    <mergeCell ref="D61:G61"/>
    <mergeCell ref="H61:J61"/>
    <mergeCell ref="K61:M61"/>
    <mergeCell ref="N61:P61"/>
    <mergeCell ref="Q61:S61"/>
    <mergeCell ref="T61:V61"/>
    <mergeCell ref="W61:Y61"/>
    <mergeCell ref="Z61:AB61"/>
    <mergeCell ref="AC61:AE61"/>
    <mergeCell ref="AF61:AH61"/>
    <mergeCell ref="AI61:AK61"/>
    <mergeCell ref="AL61:AN61"/>
    <mergeCell ref="AO61:AQ61"/>
    <mergeCell ref="AI58:AK58"/>
    <mergeCell ref="AL58:AN58"/>
    <mergeCell ref="AO58:AQ58"/>
    <mergeCell ref="D59:E60"/>
    <mergeCell ref="F59:G59"/>
    <mergeCell ref="H59:J59"/>
    <mergeCell ref="K59:M59"/>
    <mergeCell ref="N59:P59"/>
    <mergeCell ref="Q59:S59"/>
    <mergeCell ref="T59:V59"/>
    <mergeCell ref="W59:Y59"/>
    <mergeCell ref="Z59:AB59"/>
    <mergeCell ref="AC59:AE59"/>
    <mergeCell ref="AF59:AH59"/>
    <mergeCell ref="AI59:AK59"/>
    <mergeCell ref="AL59:AN59"/>
    <mergeCell ref="AO59:AQ59"/>
    <mergeCell ref="F60:G60"/>
    <mergeCell ref="H60:J60"/>
    <mergeCell ref="K60:M60"/>
    <mergeCell ref="N60:P60"/>
    <mergeCell ref="Q60:S60"/>
    <mergeCell ref="T60:V60"/>
    <mergeCell ref="W60:Y60"/>
    <mergeCell ref="H58:J58"/>
    <mergeCell ref="K58:M58"/>
    <mergeCell ref="N58:P58"/>
    <mergeCell ref="Q58:S58"/>
    <mergeCell ref="T58:V58"/>
    <mergeCell ref="W58:Y58"/>
    <mergeCell ref="Z58:AB58"/>
    <mergeCell ref="AC58:AE58"/>
    <mergeCell ref="AF58:AH58"/>
    <mergeCell ref="A54:B55"/>
    <mergeCell ref="C54:C55"/>
    <mergeCell ref="D54:G55"/>
    <mergeCell ref="A56:B61"/>
    <mergeCell ref="C56:C61"/>
    <mergeCell ref="D56:E57"/>
    <mergeCell ref="F56:G56"/>
    <mergeCell ref="F57:G57"/>
    <mergeCell ref="D58:G58"/>
    <mergeCell ref="AF45:AH46"/>
    <mergeCell ref="AI45:AK46"/>
    <mergeCell ref="AL45:AN46"/>
    <mergeCell ref="AO45:AQ46"/>
    <mergeCell ref="H46:I46"/>
    <mergeCell ref="B47:G47"/>
    <mergeCell ref="A48:G48"/>
    <mergeCell ref="A53:G53"/>
    <mergeCell ref="H53:J53"/>
    <mergeCell ref="K53:M53"/>
    <mergeCell ref="N53:P53"/>
    <mergeCell ref="Q53:S53"/>
    <mergeCell ref="T53:V53"/>
    <mergeCell ref="W53:Y53"/>
    <mergeCell ref="Z53:AB53"/>
    <mergeCell ref="AC53:AE53"/>
    <mergeCell ref="AF53:AH53"/>
    <mergeCell ref="AI53:AK53"/>
    <mergeCell ref="AL53:AN53"/>
    <mergeCell ref="AO53:AQ53"/>
    <mergeCell ref="A43:A47"/>
    <mergeCell ref="E45:F45"/>
    <mergeCell ref="K45:M46"/>
    <mergeCell ref="N45:P46"/>
    <mergeCell ref="Q45:S46"/>
    <mergeCell ref="T45:V46"/>
    <mergeCell ref="W45:Y46"/>
    <mergeCell ref="Z45:AB46"/>
    <mergeCell ref="AC45:AE46"/>
    <mergeCell ref="AI40:AK41"/>
    <mergeCell ref="AL40:AN41"/>
    <mergeCell ref="AO40:AQ41"/>
    <mergeCell ref="H41:I41"/>
    <mergeCell ref="B42:G42"/>
    <mergeCell ref="N40:P41"/>
    <mergeCell ref="Q40:S41"/>
    <mergeCell ref="T40:V41"/>
    <mergeCell ref="W40:Y41"/>
    <mergeCell ref="Z40:AB41"/>
    <mergeCell ref="AC40:AE41"/>
    <mergeCell ref="A33:G33"/>
    <mergeCell ref="A34:G34"/>
    <mergeCell ref="A35:G35"/>
    <mergeCell ref="A38:A42"/>
    <mergeCell ref="E40:F40"/>
    <mergeCell ref="K40:M41"/>
    <mergeCell ref="AF40:AH41"/>
    <mergeCell ref="AF24:AH25"/>
    <mergeCell ref="AI24:AK25"/>
    <mergeCell ref="AL24:AN25"/>
    <mergeCell ref="AO24:AQ25"/>
    <mergeCell ref="A25:C25"/>
    <mergeCell ref="K24:M25"/>
    <mergeCell ref="N24:P25"/>
    <mergeCell ref="Q24:S25"/>
    <mergeCell ref="T24:V25"/>
    <mergeCell ref="A19:C20"/>
    <mergeCell ref="D19:E20"/>
    <mergeCell ref="F19:G19"/>
    <mergeCell ref="F20:G20"/>
    <mergeCell ref="T18:V18"/>
    <mergeCell ref="W18:Y18"/>
    <mergeCell ref="Z18:AB18"/>
    <mergeCell ref="AC18:AE18"/>
    <mergeCell ref="W24:Y25"/>
    <mergeCell ref="Z24:AB25"/>
    <mergeCell ref="E21:F21"/>
    <mergeCell ref="E22:F22"/>
    <mergeCell ref="A24:C24"/>
    <mergeCell ref="D24:E24"/>
    <mergeCell ref="F24:G24"/>
    <mergeCell ref="H24:J25"/>
    <mergeCell ref="AC24:AE25"/>
    <mergeCell ref="Q17:S17"/>
    <mergeCell ref="T17:V17"/>
    <mergeCell ref="W17:Y17"/>
    <mergeCell ref="Z17:AB17"/>
    <mergeCell ref="AO17:AQ17"/>
    <mergeCell ref="D18:G18"/>
    <mergeCell ref="H18:J18"/>
    <mergeCell ref="K18:M18"/>
    <mergeCell ref="N18:P18"/>
    <mergeCell ref="Q18:S18"/>
    <mergeCell ref="AF18:AH18"/>
    <mergeCell ref="AI18:AK18"/>
    <mergeCell ref="AC17:AE17"/>
    <mergeCell ref="AF17:AH17"/>
    <mergeCell ref="AI17:AK17"/>
    <mergeCell ref="AL17:AN17"/>
    <mergeCell ref="AL18:AN18"/>
    <mergeCell ref="AO18:AQ18"/>
    <mergeCell ref="Q16:S16"/>
    <mergeCell ref="T16:V16"/>
    <mergeCell ref="W16:Y16"/>
    <mergeCell ref="Z16:AB16"/>
    <mergeCell ref="AC16:AE16"/>
    <mergeCell ref="AF16:AH16"/>
    <mergeCell ref="AI16:AK16"/>
    <mergeCell ref="AL16:AN16"/>
    <mergeCell ref="AO16:AQ16"/>
    <mergeCell ref="Q15:S15"/>
    <mergeCell ref="T15:V15"/>
    <mergeCell ref="W15:Y15"/>
    <mergeCell ref="Z15:AB15"/>
    <mergeCell ref="AC15:AE15"/>
    <mergeCell ref="AF15:AH15"/>
    <mergeCell ref="AI15:AK15"/>
    <mergeCell ref="AL15:AN15"/>
    <mergeCell ref="AO15:AQ15"/>
    <mergeCell ref="A13:B18"/>
    <mergeCell ref="C13:C18"/>
    <mergeCell ref="D13:E14"/>
    <mergeCell ref="F13:G13"/>
    <mergeCell ref="F14:G14"/>
    <mergeCell ref="D15:G15"/>
    <mergeCell ref="H15:J15"/>
    <mergeCell ref="K15:M15"/>
    <mergeCell ref="N15:P15"/>
    <mergeCell ref="D16:E17"/>
    <mergeCell ref="F16:G16"/>
    <mergeCell ref="H16:J16"/>
    <mergeCell ref="K16:M16"/>
    <mergeCell ref="N16:P16"/>
    <mergeCell ref="F17:G17"/>
    <mergeCell ref="H17:J17"/>
    <mergeCell ref="K17:M17"/>
    <mergeCell ref="N17:P17"/>
    <mergeCell ref="Z11:AB11"/>
    <mergeCell ref="AC11:AE11"/>
    <mergeCell ref="AF11:AH11"/>
    <mergeCell ref="AI11:AK11"/>
    <mergeCell ref="AL11:AN11"/>
    <mergeCell ref="AO11:AQ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I9:AK9"/>
    <mergeCell ref="AL9:AN9"/>
    <mergeCell ref="AO9:AQ9"/>
    <mergeCell ref="D10:E11"/>
    <mergeCell ref="F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F11:G11"/>
    <mergeCell ref="H11:J11"/>
    <mergeCell ref="K11:M11"/>
    <mergeCell ref="N11:P11"/>
    <mergeCell ref="Q11:S11"/>
    <mergeCell ref="T11:V11"/>
    <mergeCell ref="W11:Y11"/>
    <mergeCell ref="H9:J9"/>
    <mergeCell ref="K9:M9"/>
    <mergeCell ref="N9:P9"/>
    <mergeCell ref="Q9:S9"/>
    <mergeCell ref="T9:V9"/>
    <mergeCell ref="W9:Y9"/>
    <mergeCell ref="Z9:AB9"/>
    <mergeCell ref="AC9:AE9"/>
    <mergeCell ref="AF9:AH9"/>
    <mergeCell ref="A5:B6"/>
    <mergeCell ref="C5:C6"/>
    <mergeCell ref="D5:G6"/>
    <mergeCell ref="A7:B12"/>
    <mergeCell ref="C7:C12"/>
    <mergeCell ref="D7:E8"/>
    <mergeCell ref="F7:G7"/>
    <mergeCell ref="F8:G8"/>
    <mergeCell ref="D9:G9"/>
    <mergeCell ref="A1:AQ1"/>
    <mergeCell ref="AN2:AQ2"/>
    <mergeCell ref="BX2:CA2"/>
    <mergeCell ref="BZ3:CA3"/>
    <mergeCell ref="A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</mergeCells>
  <pageMargins left="0.7" right="0.7" top="0.75" bottom="0.75" header="0.3" footer="0.3"/>
  <pageSetup paperSize="8" scale="50" fitToHeight="0" orientation="landscape" horizontalDpi="120" verticalDpi="144" r:id="rId1"/>
  <headerFooter alignWithMargins="0">
    <oddFooter xml:space="preserve">&amp;R
</oddFooter>
  </headerFooter>
  <rowBreaks count="1" manualBreakCount="1">
    <brk id="84" max="4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150"/>
  <sheetViews>
    <sheetView showZeros="0" view="pageBreakPreview" zoomScale="80" zoomScaleNormal="100" zoomScaleSheetLayoutView="80" workbookViewId="0">
      <selection activeCell="T40" sqref="T40:V41"/>
    </sheetView>
  </sheetViews>
  <sheetFormatPr defaultRowHeight="12.75" x14ac:dyDescent="0.2"/>
  <cols>
    <col min="1" max="2" width="13.28515625" style="382" customWidth="1"/>
    <col min="3" max="4" width="12.140625" style="382" customWidth="1"/>
    <col min="5" max="5" width="5.140625" style="382" customWidth="1"/>
    <col min="6" max="6" width="8.140625" style="382" customWidth="1"/>
    <col min="7" max="7" width="9" style="382" customWidth="1"/>
    <col min="8" max="8" width="11.28515625" style="382" customWidth="1"/>
    <col min="9" max="9" width="12" style="382" bestFit="1" customWidth="1"/>
    <col min="10" max="11" width="11.28515625" style="382" customWidth="1"/>
    <col min="12" max="12" width="12" style="382" bestFit="1" customWidth="1"/>
    <col min="13" max="14" width="11.28515625" style="382" customWidth="1"/>
    <col min="15" max="15" width="12" style="382" bestFit="1" customWidth="1"/>
    <col min="16" max="17" width="11.28515625" style="382" customWidth="1"/>
    <col min="18" max="18" width="12" style="382" bestFit="1" customWidth="1"/>
    <col min="19" max="20" width="11.28515625" style="382" customWidth="1"/>
    <col min="21" max="21" width="12" style="382" bestFit="1" customWidth="1"/>
    <col min="22" max="23" width="11.28515625" style="382" customWidth="1"/>
    <col min="24" max="24" width="12" style="382" bestFit="1" customWidth="1"/>
    <col min="25" max="26" width="11.28515625" style="382" customWidth="1"/>
    <col min="27" max="27" width="12" style="382" bestFit="1" customWidth="1"/>
    <col min="28" max="29" width="11.28515625" style="382" customWidth="1"/>
    <col min="30" max="30" width="12" style="382" bestFit="1" customWidth="1"/>
    <col min="31" max="32" width="11.28515625" style="382" customWidth="1"/>
    <col min="33" max="33" width="12" style="382" bestFit="1" customWidth="1"/>
    <col min="34" max="35" width="11.28515625" style="382" customWidth="1"/>
    <col min="36" max="36" width="12" style="382" bestFit="1" customWidth="1"/>
    <col min="37" max="38" width="11.28515625" style="382" customWidth="1"/>
    <col min="39" max="39" width="12" style="382" bestFit="1" customWidth="1"/>
    <col min="40" max="41" width="11.28515625" style="382" customWidth="1"/>
    <col min="42" max="42" width="12" style="382" bestFit="1" customWidth="1"/>
    <col min="43" max="43" width="11.28515625" style="382" customWidth="1"/>
    <col min="44" max="44" width="21.28515625" style="468" customWidth="1"/>
    <col min="45" max="45" width="22.28515625" style="470" customWidth="1"/>
    <col min="46" max="46" width="20.140625" style="470" customWidth="1"/>
    <col min="47" max="47" width="16.7109375" style="470" customWidth="1"/>
    <col min="48" max="48" width="10.140625" style="470" customWidth="1"/>
    <col min="49" max="49" width="16.140625" style="470" customWidth="1"/>
    <col min="50" max="52" width="8" style="470" customWidth="1"/>
    <col min="53" max="69" width="8" style="474" customWidth="1"/>
    <col min="70" max="79" width="8" style="382" customWidth="1"/>
    <col min="80" max="80" width="12" style="382" bestFit="1" customWidth="1"/>
    <col min="81" max="16384" width="9.140625" style="382"/>
  </cols>
  <sheetData>
    <row r="1" spans="1:83" s="230" customFormat="1" ht="26.25" customHeight="1" x14ac:dyDescent="0.35">
      <c r="A1" s="2033" t="s">
        <v>121</v>
      </c>
      <c r="B1" s="2033"/>
      <c r="C1" s="2033"/>
      <c r="D1" s="2033"/>
      <c r="E1" s="2033"/>
      <c r="F1" s="2033"/>
      <c r="G1" s="2033"/>
      <c r="H1" s="2033"/>
      <c r="I1" s="2033"/>
      <c r="J1" s="2033"/>
      <c r="K1" s="2033"/>
      <c r="L1" s="2033"/>
      <c r="M1" s="2033"/>
      <c r="N1" s="2033"/>
      <c r="O1" s="2033"/>
      <c r="P1" s="2033"/>
      <c r="Q1" s="2033"/>
      <c r="R1" s="2033"/>
      <c r="S1" s="2033"/>
      <c r="T1" s="2033"/>
      <c r="U1" s="2033"/>
      <c r="V1" s="2033"/>
      <c r="W1" s="2033"/>
      <c r="X1" s="2033"/>
      <c r="Y1" s="2033"/>
      <c r="Z1" s="2033"/>
      <c r="AA1" s="2033"/>
      <c r="AB1" s="2033"/>
      <c r="AC1" s="2033"/>
      <c r="AD1" s="2033"/>
      <c r="AE1" s="2033"/>
      <c r="AF1" s="2033"/>
      <c r="AG1" s="2033"/>
      <c r="AH1" s="2033"/>
      <c r="AI1" s="2033"/>
      <c r="AJ1" s="2033"/>
      <c r="AK1" s="2033"/>
      <c r="AL1" s="2033"/>
      <c r="AM1" s="2033"/>
      <c r="AN1" s="2033"/>
      <c r="AO1" s="2033"/>
      <c r="AP1" s="2033"/>
      <c r="AQ1" s="2033"/>
      <c r="AS1" s="231"/>
      <c r="AT1" s="231"/>
      <c r="AU1" s="231"/>
      <c r="AV1" s="231"/>
      <c r="AW1" s="231"/>
      <c r="AX1" s="231"/>
      <c r="AY1" s="231"/>
      <c r="AZ1" s="231"/>
      <c r="BA1" s="231"/>
      <c r="BB1" s="231"/>
      <c r="BC1" s="231"/>
      <c r="BD1" s="231"/>
      <c r="BE1" s="231"/>
      <c r="BF1" s="231"/>
      <c r="BG1" s="231"/>
      <c r="BH1" s="231"/>
      <c r="BI1" s="231"/>
      <c r="BJ1" s="231"/>
      <c r="BK1" s="231"/>
      <c r="BL1" s="231"/>
      <c r="BM1" s="231"/>
      <c r="BN1" s="231"/>
      <c r="BO1" s="231"/>
      <c r="BP1" s="231"/>
      <c r="BQ1" s="231"/>
      <c r="BV1" s="231"/>
      <c r="BW1" s="231"/>
      <c r="BX1" s="231"/>
      <c r="BY1" s="232"/>
      <c r="BZ1" s="231"/>
      <c r="CA1" s="231"/>
      <c r="CB1" s="231"/>
      <c r="CC1" s="231"/>
    </row>
    <row r="2" spans="1:83" s="239" customFormat="1" ht="27.75" x14ac:dyDescent="0.4">
      <c r="A2" s="230"/>
      <c r="B2" s="231"/>
      <c r="C2" s="231"/>
      <c r="D2" s="231"/>
      <c r="E2" s="231"/>
      <c r="F2" s="233"/>
      <c r="G2" s="231"/>
      <c r="H2" s="231"/>
      <c r="I2" s="284"/>
      <c r="J2" s="230"/>
      <c r="K2" s="234"/>
      <c r="L2" s="234"/>
      <c r="M2" s="234"/>
      <c r="N2" s="235"/>
      <c r="O2" s="231"/>
      <c r="P2" s="231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6" t="s">
        <v>3</v>
      </c>
      <c r="AN2" s="2034">
        <v>45644</v>
      </c>
      <c r="AO2" s="2034"/>
      <c r="AP2" s="2034"/>
      <c r="AQ2" s="2034"/>
      <c r="AR2" s="230"/>
      <c r="AS2" s="231"/>
      <c r="AT2" s="231"/>
      <c r="AU2" s="231"/>
      <c r="AV2" s="231"/>
      <c r="AW2" s="231"/>
      <c r="AX2" s="231"/>
      <c r="AY2" s="231"/>
      <c r="AZ2" s="231"/>
      <c r="BA2" s="231"/>
      <c r="BB2" s="231"/>
      <c r="BC2" s="231"/>
      <c r="BD2" s="231"/>
      <c r="BE2" s="231"/>
      <c r="BF2" s="231"/>
      <c r="BG2" s="231"/>
      <c r="BH2" s="231"/>
      <c r="BI2" s="231"/>
      <c r="BJ2" s="231"/>
      <c r="BK2" s="231"/>
      <c r="BL2" s="231"/>
      <c r="BM2" s="231"/>
      <c r="BN2" s="231"/>
      <c r="BO2" s="231"/>
      <c r="BP2" s="231"/>
      <c r="BQ2" s="231"/>
      <c r="BR2" s="230"/>
      <c r="BS2" s="230"/>
      <c r="BT2" s="230"/>
      <c r="BU2" s="230"/>
      <c r="BV2" s="237"/>
      <c r="BW2" s="231"/>
      <c r="BX2" s="2035"/>
      <c r="BY2" s="2035"/>
      <c r="BZ2" s="2035"/>
      <c r="CA2" s="2035"/>
      <c r="CB2" s="238"/>
      <c r="CC2" s="238"/>
    </row>
    <row r="3" spans="1:83" s="239" customFormat="1" ht="17.25" thickBot="1" x14ac:dyDescent="0.3">
      <c r="A3" s="230"/>
      <c r="B3" s="231"/>
      <c r="C3" s="231"/>
      <c r="D3" s="231"/>
      <c r="E3" s="231"/>
      <c r="F3" s="231"/>
      <c r="G3" s="231"/>
      <c r="H3" s="231"/>
      <c r="I3" s="266"/>
      <c r="J3" s="266"/>
      <c r="K3" s="389"/>
      <c r="L3" s="266"/>
      <c r="M3" s="231"/>
      <c r="N3" s="230"/>
      <c r="O3" s="266"/>
      <c r="P3" s="230"/>
      <c r="Q3" s="230"/>
      <c r="R3" s="266"/>
      <c r="S3" s="230"/>
      <c r="T3" s="230"/>
      <c r="U3" s="266"/>
      <c r="V3" s="230"/>
      <c r="W3" s="230"/>
      <c r="X3" s="266"/>
      <c r="Y3" s="230"/>
      <c r="Z3" s="230"/>
      <c r="AA3" s="266"/>
      <c r="AB3" s="230"/>
      <c r="AC3" s="230"/>
      <c r="AD3" s="266"/>
      <c r="AE3" s="230"/>
      <c r="AF3" s="230"/>
      <c r="AG3" s="266"/>
      <c r="AH3" s="230"/>
      <c r="AI3" s="230"/>
      <c r="AJ3" s="266"/>
      <c r="AK3" s="230"/>
      <c r="AL3" s="230"/>
      <c r="AM3" s="266"/>
      <c r="AN3" s="230"/>
      <c r="AO3" s="230"/>
      <c r="AP3" s="266"/>
      <c r="AQ3" s="230"/>
      <c r="AR3" s="230"/>
      <c r="AS3" s="231"/>
      <c r="AT3" s="231"/>
      <c r="AU3" s="231"/>
      <c r="AV3" s="231"/>
      <c r="AW3" s="231"/>
      <c r="AX3" s="231"/>
      <c r="AY3" s="231"/>
      <c r="AZ3" s="231"/>
      <c r="BA3" s="231"/>
      <c r="BB3" s="231"/>
      <c r="BC3" s="231"/>
      <c r="BD3" s="231"/>
      <c r="BE3" s="231"/>
      <c r="BF3" s="231"/>
      <c r="BG3" s="231"/>
      <c r="BH3" s="231"/>
      <c r="BI3" s="231"/>
      <c r="BJ3" s="231"/>
      <c r="BK3" s="231"/>
      <c r="BL3" s="231"/>
      <c r="BM3" s="231"/>
      <c r="BN3" s="231"/>
      <c r="BO3" s="231"/>
      <c r="BP3" s="231"/>
      <c r="BQ3" s="231"/>
      <c r="BR3" s="230"/>
      <c r="BS3" s="230"/>
      <c r="BT3" s="230"/>
      <c r="BU3" s="230"/>
      <c r="BV3" s="231"/>
      <c r="BW3" s="231"/>
      <c r="BX3" s="231"/>
      <c r="BY3" s="231"/>
      <c r="BZ3" s="231"/>
      <c r="CA3" s="231"/>
      <c r="CB3" s="238"/>
      <c r="CC3" s="238"/>
    </row>
    <row r="4" spans="1:83" s="239" customFormat="1" ht="16.5" customHeight="1" thickBot="1" x14ac:dyDescent="0.3">
      <c r="A4" s="2037" t="s">
        <v>12</v>
      </c>
      <c r="B4" s="2038"/>
      <c r="C4" s="2038"/>
      <c r="D4" s="2038"/>
      <c r="E4" s="2038"/>
      <c r="F4" s="2038"/>
      <c r="G4" s="2039"/>
      <c r="H4" s="2040" t="s">
        <v>67</v>
      </c>
      <c r="I4" s="2041"/>
      <c r="J4" s="2042"/>
      <c r="K4" s="2040" t="s">
        <v>68</v>
      </c>
      <c r="L4" s="2041"/>
      <c r="M4" s="2042"/>
      <c r="N4" s="2040" t="s">
        <v>69</v>
      </c>
      <c r="O4" s="2041"/>
      <c r="P4" s="2042"/>
      <c r="Q4" s="2040" t="s">
        <v>70</v>
      </c>
      <c r="R4" s="2041"/>
      <c r="S4" s="2042"/>
      <c r="T4" s="2040" t="s">
        <v>71</v>
      </c>
      <c r="U4" s="2041"/>
      <c r="V4" s="2042"/>
      <c r="W4" s="2040" t="s">
        <v>72</v>
      </c>
      <c r="X4" s="2041"/>
      <c r="Y4" s="2042"/>
      <c r="Z4" s="2040" t="s">
        <v>73</v>
      </c>
      <c r="AA4" s="2041"/>
      <c r="AB4" s="2042"/>
      <c r="AC4" s="2040" t="s">
        <v>74</v>
      </c>
      <c r="AD4" s="2041"/>
      <c r="AE4" s="2042"/>
      <c r="AF4" s="2040" t="s">
        <v>75</v>
      </c>
      <c r="AG4" s="2041"/>
      <c r="AH4" s="2042"/>
      <c r="AI4" s="2040" t="s">
        <v>76</v>
      </c>
      <c r="AJ4" s="2041"/>
      <c r="AK4" s="2042"/>
      <c r="AL4" s="2040" t="s">
        <v>77</v>
      </c>
      <c r="AM4" s="2041"/>
      <c r="AN4" s="2042"/>
      <c r="AO4" s="2040" t="s">
        <v>78</v>
      </c>
      <c r="AP4" s="2041"/>
      <c r="AQ4" s="2042"/>
      <c r="AS4" s="238"/>
      <c r="AT4" s="238"/>
      <c r="AU4" s="238"/>
      <c r="AV4" s="238"/>
      <c r="AW4" s="238"/>
      <c r="AX4" s="238"/>
      <c r="AY4" s="238"/>
      <c r="AZ4" s="238"/>
      <c r="BA4" s="238"/>
      <c r="BB4" s="238"/>
      <c r="BC4" s="238"/>
      <c r="BD4" s="238"/>
      <c r="BE4" s="238"/>
      <c r="BF4" s="238"/>
      <c r="BG4" s="238"/>
      <c r="BH4" s="238"/>
      <c r="BI4" s="238"/>
      <c r="BJ4" s="238"/>
      <c r="BK4" s="238"/>
      <c r="BL4" s="238"/>
      <c r="BM4" s="238"/>
      <c r="BN4" s="238"/>
      <c r="BO4" s="238"/>
      <c r="BP4" s="238"/>
      <c r="BQ4" s="238"/>
      <c r="BV4" s="238"/>
      <c r="BW4" s="238"/>
      <c r="BX4" s="238"/>
      <c r="BY4" s="238"/>
      <c r="BZ4" s="238"/>
      <c r="CA4" s="238"/>
      <c r="CB4" s="238"/>
      <c r="CC4" s="238"/>
    </row>
    <row r="5" spans="1:83" s="239" customFormat="1" ht="16.5" customHeight="1" x14ac:dyDescent="0.25">
      <c r="A5" s="2043" t="s">
        <v>79</v>
      </c>
      <c r="B5" s="2044"/>
      <c r="C5" s="2047" t="s">
        <v>80</v>
      </c>
      <c r="D5" s="2049"/>
      <c r="E5" s="2050"/>
      <c r="F5" s="2050"/>
      <c r="G5" s="2051"/>
      <c r="H5" s="240" t="s">
        <v>4</v>
      </c>
      <c r="I5" s="241" t="s">
        <v>9</v>
      </c>
      <c r="J5" s="242" t="s">
        <v>10</v>
      </c>
      <c r="K5" s="240" t="s">
        <v>4</v>
      </c>
      <c r="L5" s="241" t="s">
        <v>9</v>
      </c>
      <c r="M5" s="242" t="s">
        <v>10</v>
      </c>
      <c r="N5" s="240" t="s">
        <v>4</v>
      </c>
      <c r="O5" s="241" t="s">
        <v>9</v>
      </c>
      <c r="P5" s="242" t="s">
        <v>10</v>
      </c>
      <c r="Q5" s="240" t="s">
        <v>4</v>
      </c>
      <c r="R5" s="241" t="s">
        <v>9</v>
      </c>
      <c r="S5" s="242" t="s">
        <v>10</v>
      </c>
      <c r="T5" s="240" t="s">
        <v>4</v>
      </c>
      <c r="U5" s="241" t="s">
        <v>9</v>
      </c>
      <c r="V5" s="242" t="s">
        <v>10</v>
      </c>
      <c r="W5" s="240" t="s">
        <v>4</v>
      </c>
      <c r="X5" s="241" t="s">
        <v>9</v>
      </c>
      <c r="Y5" s="242" t="s">
        <v>10</v>
      </c>
      <c r="Z5" s="240" t="s">
        <v>4</v>
      </c>
      <c r="AA5" s="241" t="s">
        <v>9</v>
      </c>
      <c r="AB5" s="242" t="s">
        <v>10</v>
      </c>
      <c r="AC5" s="240" t="s">
        <v>4</v>
      </c>
      <c r="AD5" s="241" t="s">
        <v>9</v>
      </c>
      <c r="AE5" s="242" t="s">
        <v>10</v>
      </c>
      <c r="AF5" s="240" t="s">
        <v>4</v>
      </c>
      <c r="AG5" s="241" t="s">
        <v>9</v>
      </c>
      <c r="AH5" s="242" t="s">
        <v>10</v>
      </c>
      <c r="AI5" s="240" t="s">
        <v>4</v>
      </c>
      <c r="AJ5" s="241" t="s">
        <v>9</v>
      </c>
      <c r="AK5" s="242" t="s">
        <v>10</v>
      </c>
      <c r="AL5" s="240" t="s">
        <v>4</v>
      </c>
      <c r="AM5" s="241" t="s">
        <v>9</v>
      </c>
      <c r="AN5" s="242" t="s">
        <v>10</v>
      </c>
      <c r="AO5" s="240" t="s">
        <v>4</v>
      </c>
      <c r="AP5" s="241" t="s">
        <v>9</v>
      </c>
      <c r="AQ5" s="242" t="s">
        <v>10</v>
      </c>
      <c r="AS5" s="238"/>
      <c r="AT5" s="238"/>
      <c r="AU5" s="238"/>
      <c r="AV5" s="238"/>
      <c r="AW5" s="238"/>
      <c r="AX5" s="238"/>
      <c r="AY5" s="238"/>
      <c r="AZ5" s="238"/>
      <c r="BA5" s="238"/>
      <c r="BB5" s="238"/>
      <c r="BC5" s="238"/>
      <c r="BD5" s="238"/>
      <c r="BE5" s="238"/>
      <c r="BF5" s="238"/>
      <c r="BG5" s="238"/>
      <c r="BH5" s="238"/>
      <c r="BI5" s="238"/>
      <c r="BJ5" s="238"/>
      <c r="BK5" s="238"/>
      <c r="BL5" s="238"/>
      <c r="BM5" s="238"/>
      <c r="BN5" s="238"/>
      <c r="BO5" s="238"/>
      <c r="BP5" s="238"/>
      <c r="BQ5" s="238"/>
      <c r="BV5" s="238"/>
      <c r="BW5" s="238"/>
      <c r="BX5" s="238"/>
      <c r="BY5" s="238"/>
      <c r="BZ5" s="238"/>
      <c r="CA5" s="238"/>
      <c r="CB5" s="238"/>
      <c r="CC5" s="238"/>
    </row>
    <row r="6" spans="1:83" s="239" customFormat="1" ht="16.5" customHeight="1" thickBot="1" x14ac:dyDescent="0.3">
      <c r="A6" s="2045"/>
      <c r="B6" s="2046"/>
      <c r="C6" s="2048"/>
      <c r="D6" s="2052"/>
      <c r="E6" s="2053"/>
      <c r="F6" s="2053"/>
      <c r="G6" s="2054"/>
      <c r="H6" s="243" t="s">
        <v>30</v>
      </c>
      <c r="I6" s="244" t="s">
        <v>31</v>
      </c>
      <c r="J6" s="245" t="s">
        <v>32</v>
      </c>
      <c r="K6" s="243" t="s">
        <v>30</v>
      </c>
      <c r="L6" s="244" t="s">
        <v>31</v>
      </c>
      <c r="M6" s="245" t="s">
        <v>32</v>
      </c>
      <c r="N6" s="243" t="s">
        <v>30</v>
      </c>
      <c r="O6" s="244" t="s">
        <v>31</v>
      </c>
      <c r="P6" s="245" t="s">
        <v>32</v>
      </c>
      <c r="Q6" s="243" t="s">
        <v>30</v>
      </c>
      <c r="R6" s="244" t="s">
        <v>31</v>
      </c>
      <c r="S6" s="245" t="s">
        <v>32</v>
      </c>
      <c r="T6" s="243" t="s">
        <v>30</v>
      </c>
      <c r="U6" s="244" t="s">
        <v>31</v>
      </c>
      <c r="V6" s="245" t="s">
        <v>32</v>
      </c>
      <c r="W6" s="243" t="s">
        <v>30</v>
      </c>
      <c r="X6" s="244" t="s">
        <v>31</v>
      </c>
      <c r="Y6" s="245" t="s">
        <v>32</v>
      </c>
      <c r="Z6" s="243" t="s">
        <v>30</v>
      </c>
      <c r="AA6" s="244" t="s">
        <v>31</v>
      </c>
      <c r="AB6" s="245" t="s">
        <v>32</v>
      </c>
      <c r="AC6" s="243" t="s">
        <v>30</v>
      </c>
      <c r="AD6" s="244" t="s">
        <v>31</v>
      </c>
      <c r="AE6" s="245" t="s">
        <v>32</v>
      </c>
      <c r="AF6" s="243" t="s">
        <v>30</v>
      </c>
      <c r="AG6" s="244" t="s">
        <v>31</v>
      </c>
      <c r="AH6" s="245" t="s">
        <v>32</v>
      </c>
      <c r="AI6" s="243" t="s">
        <v>30</v>
      </c>
      <c r="AJ6" s="244" t="s">
        <v>31</v>
      </c>
      <c r="AK6" s="245" t="s">
        <v>32</v>
      </c>
      <c r="AL6" s="243" t="s">
        <v>30</v>
      </c>
      <c r="AM6" s="244" t="s">
        <v>31</v>
      </c>
      <c r="AN6" s="245" t="s">
        <v>32</v>
      </c>
      <c r="AO6" s="243" t="s">
        <v>30</v>
      </c>
      <c r="AP6" s="244" t="s">
        <v>31</v>
      </c>
      <c r="AQ6" s="245" t="s">
        <v>32</v>
      </c>
      <c r="AS6" s="238"/>
      <c r="AT6" s="238"/>
      <c r="AU6" s="238"/>
      <c r="AV6" s="238"/>
      <c r="AW6" s="238"/>
      <c r="AX6" s="238"/>
      <c r="AY6" s="238"/>
      <c r="AZ6" s="238"/>
      <c r="BA6" s="238"/>
      <c r="BB6" s="238"/>
      <c r="BC6" s="238"/>
      <c r="BD6" s="238"/>
      <c r="BE6" s="238"/>
      <c r="BF6" s="238"/>
      <c r="BG6" s="238"/>
      <c r="BH6" s="238"/>
      <c r="BI6" s="238"/>
      <c r="BJ6" s="238"/>
      <c r="BK6" s="238"/>
      <c r="BL6" s="238"/>
      <c r="BM6" s="238"/>
      <c r="BN6" s="238"/>
      <c r="BO6" s="238"/>
      <c r="BP6" s="238"/>
      <c r="BQ6" s="238"/>
      <c r="BV6" s="238"/>
      <c r="BW6" s="238"/>
      <c r="BX6" s="238"/>
      <c r="BY6" s="238"/>
      <c r="BZ6" s="238"/>
      <c r="CA6" s="238"/>
      <c r="CB6" s="238"/>
      <c r="CC6" s="238"/>
    </row>
    <row r="7" spans="1:83" s="230" customFormat="1" ht="16.5" customHeight="1" x14ac:dyDescent="0.25">
      <c r="A7" s="2055" t="s">
        <v>0</v>
      </c>
      <c r="B7" s="2056"/>
      <c r="C7" s="2061">
        <v>16</v>
      </c>
      <c r="D7" s="2064" t="s">
        <v>13</v>
      </c>
      <c r="E7" s="2065"/>
      <c r="F7" s="2068" t="s">
        <v>81</v>
      </c>
      <c r="G7" s="2069"/>
      <c r="H7" s="390">
        <f>SQRT(I7^2+J7^2)*1000/(1.73*H11)</f>
        <v>47.104285653455264</v>
      </c>
      <c r="I7" s="391">
        <v>9.6448</v>
      </c>
      <c r="J7" s="392">
        <v>2.0503999999999998</v>
      </c>
      <c r="K7" s="390">
        <f>SQRT(L7^2+M7^2)*1000/(1.73*K11)</f>
        <v>46.610964351538811</v>
      </c>
      <c r="L7" s="391">
        <v>9.5391999999999992</v>
      </c>
      <c r="M7" s="392">
        <v>2.0503999999999998</v>
      </c>
      <c r="N7" s="390">
        <f>SQRT(O7^2+P7^2)*1000/(1.73*N11)</f>
        <v>46.173473127051182</v>
      </c>
      <c r="O7" s="391">
        <v>9.4512</v>
      </c>
      <c r="P7" s="392">
        <v>2.024</v>
      </c>
      <c r="Q7" s="390">
        <f>SQRT(R7^2+S7^2)*1000/(1.73*Q11)</f>
        <v>45.621489253327354</v>
      </c>
      <c r="R7" s="391">
        <v>9.3368000000000002</v>
      </c>
      <c r="S7" s="392">
        <v>2.0064000000000002</v>
      </c>
      <c r="T7" s="390">
        <f>SQRT(U7^2+V7^2)*1000/(1.73*T11)</f>
        <v>46.073698453852664</v>
      </c>
      <c r="U7" s="391">
        <v>9.4336000000000002</v>
      </c>
      <c r="V7" s="392">
        <v>2.0064000000000002</v>
      </c>
      <c r="W7" s="390">
        <f>SQRT(X7^2+Y7^2)*1000/(1.73*W11)</f>
        <v>46.649527200446677</v>
      </c>
      <c r="X7" s="391">
        <v>9.5568000000000008</v>
      </c>
      <c r="Y7" s="392">
        <v>2.0064000000000002</v>
      </c>
      <c r="Z7" s="390">
        <f>SQRT(AA7^2+AB7^2)*1000/(1.73*Z11)</f>
        <v>49.065791608312423</v>
      </c>
      <c r="AA7" s="391">
        <v>10.0496</v>
      </c>
      <c r="AB7" s="392">
        <v>2.1208</v>
      </c>
      <c r="AC7" s="390">
        <f>SQRT(AD7^2+AE7^2)*1000/(1.73*AC11)</f>
        <v>51.497240660385771</v>
      </c>
      <c r="AD7" s="391">
        <v>10.5512</v>
      </c>
      <c r="AE7" s="392">
        <v>2.2088000000000001</v>
      </c>
      <c r="AF7" s="390">
        <f>SQRT(AG7^2+AH7^2)*1000/(1.73*AF11)</f>
        <v>51.908781602670828</v>
      </c>
      <c r="AG7" s="391">
        <v>10.639200000000001</v>
      </c>
      <c r="AH7" s="392">
        <v>2.2088000000000001</v>
      </c>
      <c r="AI7" s="390">
        <f>SQRT(AJ7^2+AK7^2)*1000/(1.73*AI11)</f>
        <v>51.249005695882268</v>
      </c>
      <c r="AJ7" s="391">
        <v>10.5336</v>
      </c>
      <c r="AK7" s="392">
        <v>2.0327999999999999</v>
      </c>
      <c r="AL7" s="390">
        <f>SQRT(AM7^2+AN7^2)*1000/(1.73*AL11)</f>
        <v>50.125532444437923</v>
      </c>
      <c r="AM7" s="391">
        <v>10.3224</v>
      </c>
      <c r="AN7" s="392">
        <v>1.8832</v>
      </c>
      <c r="AO7" s="390">
        <f>SQRT(AP7^2+AQ7^2)*1000/(1.73*AO11)</f>
        <v>49.629339735234161</v>
      </c>
      <c r="AP7" s="391">
        <v>10.216799999999999</v>
      </c>
      <c r="AQ7" s="392">
        <v>1.8832</v>
      </c>
      <c r="AR7" s="284"/>
      <c r="AS7" s="393"/>
      <c r="AT7" s="394"/>
      <c r="AU7" s="394"/>
      <c r="AV7" s="231"/>
      <c r="AW7" s="231"/>
      <c r="AX7" s="231"/>
      <c r="AY7" s="231"/>
      <c r="AZ7" s="231"/>
      <c r="BA7" s="231"/>
      <c r="BB7" s="231"/>
      <c r="BC7" s="231"/>
      <c r="BD7" s="231"/>
      <c r="BE7" s="231"/>
      <c r="BF7" s="231"/>
      <c r="BG7" s="231"/>
      <c r="BH7" s="231"/>
      <c r="BI7" s="231"/>
      <c r="BJ7" s="231"/>
      <c r="BK7" s="231"/>
      <c r="BL7" s="231"/>
      <c r="BM7" s="231"/>
      <c r="BN7" s="231"/>
      <c r="BO7" s="231"/>
      <c r="BP7" s="231"/>
      <c r="BQ7" s="231"/>
      <c r="CB7" s="249"/>
      <c r="CC7" s="249"/>
      <c r="CD7" s="249"/>
      <c r="CE7" s="249"/>
    </row>
    <row r="8" spans="1:83" s="230" customFormat="1" ht="16.5" customHeight="1" x14ac:dyDescent="0.25">
      <c r="A8" s="2136"/>
      <c r="B8" s="2058"/>
      <c r="C8" s="2062"/>
      <c r="D8" s="2137"/>
      <c r="E8" s="2138"/>
      <c r="F8" s="2139" t="s">
        <v>122</v>
      </c>
      <c r="G8" s="2140"/>
      <c r="H8" s="395">
        <f>SQRT(I8^2+J8^2)*1000/(1.73*H12)</f>
        <v>12.437281424910891</v>
      </c>
      <c r="I8" s="396">
        <f>I32</f>
        <v>0.75600000000000001</v>
      </c>
      <c r="J8" s="397">
        <f>J32</f>
        <v>0.16869999999999999</v>
      </c>
      <c r="K8" s="395">
        <f>SQRT(L8^2+M8^2)*1000/(1.73*K12)</f>
        <v>13.046913405314481</v>
      </c>
      <c r="L8" s="396">
        <f>L32</f>
        <v>0.79135</v>
      </c>
      <c r="M8" s="397">
        <f>M32</f>
        <v>0.18445</v>
      </c>
      <c r="N8" s="395">
        <f>SQRT(O8^2+P8^2)*1000/(1.73*N12)</f>
        <v>13.084089958875158</v>
      </c>
      <c r="O8" s="396">
        <f>O32</f>
        <v>0.79484999999999995</v>
      </c>
      <c r="P8" s="397">
        <f>P32</f>
        <v>0.17954999999999999</v>
      </c>
      <c r="Q8" s="395">
        <f>SQRT(R8^2+S8^2)*1000/(1.73*Q12)</f>
        <v>12.595169384432259</v>
      </c>
      <c r="R8" s="396">
        <f>R32</f>
        <v>0.76544999999999996</v>
      </c>
      <c r="S8" s="397">
        <f>S32</f>
        <v>0.17150000000000001</v>
      </c>
      <c r="T8" s="395">
        <f>SQRT(U8^2+V8^2)*1000/(1.73*T12)</f>
        <v>13.115217079820184</v>
      </c>
      <c r="U8" s="396">
        <f>U32</f>
        <v>0.79659999999999997</v>
      </c>
      <c r="V8" s="397">
        <f>V32</f>
        <v>0.18060000000000001</v>
      </c>
      <c r="W8" s="395">
        <f>SQRT(X8^2+Y8^2)*1000/(1.73*W12)</f>
        <v>12.102679574469203</v>
      </c>
      <c r="X8" s="396">
        <f>X32</f>
        <v>0.73534999999999995</v>
      </c>
      <c r="Y8" s="397">
        <f>Y32</f>
        <v>0.16555</v>
      </c>
      <c r="Z8" s="395">
        <f>SQRT(AA8^2+AB8^2)*1000/(1.73*Z12)</f>
        <v>13.732005125231915</v>
      </c>
      <c r="AA8" s="396">
        <f>AA32</f>
        <v>0.83440000000000003</v>
      </c>
      <c r="AB8" s="397">
        <f>AB32</f>
        <v>0.18759999999999999</v>
      </c>
      <c r="AC8" s="395">
        <f>SQRT(AD8^2+AE8^2)*1000/(1.73*AC12)</f>
        <v>13.591579842257234</v>
      </c>
      <c r="AD8" s="396">
        <f>AD32</f>
        <v>0.82774999999999999</v>
      </c>
      <c r="AE8" s="397">
        <f>AE32</f>
        <v>0.17710000000000001</v>
      </c>
      <c r="AF8" s="395">
        <f>SQRT(AG8^2+AH8^2)*1000/(1.73*AF12)</f>
        <v>13.946066446596847</v>
      </c>
      <c r="AG8" s="396">
        <f>AG32</f>
        <v>0.8498</v>
      </c>
      <c r="AH8" s="397">
        <f>AH32</f>
        <v>0.17954999999999999</v>
      </c>
      <c r="AI8" s="395">
        <f>SQRT(AJ8^2+AK8^2)*1000/(1.73*AI12)</f>
        <v>12.854960276581561</v>
      </c>
      <c r="AJ8" s="396">
        <f>AJ32</f>
        <v>0.78959999999999997</v>
      </c>
      <c r="AK8" s="397">
        <f>AK32</f>
        <v>0.1323</v>
      </c>
      <c r="AL8" s="395">
        <f>SQRT(AM8^2+AN8^2)*1000/(1.73*AL12)</f>
        <v>11.954788045823564</v>
      </c>
      <c r="AM8" s="396">
        <f>AM32</f>
        <v>0.73675000000000002</v>
      </c>
      <c r="AN8" s="397">
        <f>AN32</f>
        <v>0.10745</v>
      </c>
      <c r="AO8" s="395">
        <f>SQRT(AP8^2+AQ8^2)*1000/(1.73*AO12)</f>
        <v>12.994919647799025</v>
      </c>
      <c r="AP8" s="396">
        <f>AP32</f>
        <v>0.7994</v>
      </c>
      <c r="AQ8" s="397">
        <f>AQ32</f>
        <v>0.12634999999999999</v>
      </c>
      <c r="AR8" s="284"/>
      <c r="AS8" s="393"/>
      <c r="AT8" s="394"/>
      <c r="AU8" s="394"/>
      <c r="AV8" s="266"/>
      <c r="AW8" s="231"/>
      <c r="AX8" s="231"/>
      <c r="AY8" s="231"/>
      <c r="AZ8" s="231"/>
      <c r="BA8" s="231"/>
      <c r="BB8" s="231"/>
      <c r="BC8" s="231"/>
      <c r="BD8" s="231"/>
      <c r="BE8" s="231"/>
      <c r="BF8" s="231"/>
      <c r="BG8" s="231"/>
      <c r="BH8" s="231"/>
      <c r="BI8" s="231"/>
      <c r="BJ8" s="231"/>
      <c r="BK8" s="231"/>
      <c r="BL8" s="231"/>
      <c r="BM8" s="231"/>
      <c r="BN8" s="231"/>
      <c r="BO8" s="231"/>
      <c r="BP8" s="231"/>
      <c r="BQ8" s="231"/>
      <c r="CB8" s="249"/>
      <c r="CC8" s="249"/>
      <c r="CD8" s="249"/>
      <c r="CE8" s="249"/>
    </row>
    <row r="9" spans="1:83" s="230" customFormat="1" ht="16.5" customHeight="1" thickBot="1" x14ac:dyDescent="0.3">
      <c r="A9" s="2057"/>
      <c r="B9" s="2058"/>
      <c r="C9" s="2062"/>
      <c r="D9" s="2066"/>
      <c r="E9" s="2067"/>
      <c r="F9" s="2070" t="s">
        <v>82</v>
      </c>
      <c r="G9" s="2071"/>
      <c r="H9" s="250">
        <f>SQRT(I9^2+J9^2)*1000/(1.73*H13)</f>
        <v>511.4670037629225</v>
      </c>
      <c r="I9" s="398">
        <f>I54+I52</f>
        <v>8.9256919999999997</v>
      </c>
      <c r="J9" s="399">
        <f>J54+J52</f>
        <v>1.3375000000000001</v>
      </c>
      <c r="K9" s="250">
        <f>SQRT(L9^2+M9^2)*1000/(1.73*K13)</f>
        <v>503.84528182007733</v>
      </c>
      <c r="L9" s="398">
        <f>L54+L52</f>
        <v>8.7887439999999994</v>
      </c>
      <c r="M9" s="399">
        <f>M54+M52</f>
        <v>1.3435999999999999</v>
      </c>
      <c r="N9" s="250">
        <f>SQRT(O9^2+P9^2)*1000/(1.73*N13)</f>
        <v>498.38023451667635</v>
      </c>
      <c r="O9" s="398">
        <f>O54+O52</f>
        <v>8.6931440000000002</v>
      </c>
      <c r="P9" s="399">
        <f>P54+P52</f>
        <v>1.3308</v>
      </c>
      <c r="Q9" s="250">
        <f>SQRT(R9^2+S9^2)*1000/(1.73*Q13)</f>
        <v>493.82681237991551</v>
      </c>
      <c r="R9" s="398">
        <f>R54+R52</f>
        <v>8.6121120000000015</v>
      </c>
      <c r="S9" s="399">
        <f>S54+S52</f>
        <v>1.3290999999999999</v>
      </c>
      <c r="T9" s="250">
        <f>SQRT(U9^2+V9^2)*1000/(1.73*T13)</f>
        <v>497.47790794538685</v>
      </c>
      <c r="U9" s="398">
        <f>U54+U52</f>
        <v>8.6798680000000008</v>
      </c>
      <c r="V9" s="399">
        <f>V54+V52</f>
        <v>1.3122</v>
      </c>
      <c r="W9" s="250">
        <f>SQRT(X9^2+Y9^2)*1000/(1.73*W13)</f>
        <v>507.71701595093344</v>
      </c>
      <c r="X9" s="398">
        <f>X54+X52</f>
        <v>8.8623360000000009</v>
      </c>
      <c r="Y9" s="399">
        <f>Y54+Y52</f>
        <v>1.3136999999999999</v>
      </c>
      <c r="Z9" s="250">
        <f>SQRT(AA9^2+AB9^2)*1000/(1.73*Z13)</f>
        <v>529.9634121609638</v>
      </c>
      <c r="AA9" s="398">
        <f>AA54+AA52</f>
        <v>9.2558399999999992</v>
      </c>
      <c r="AB9" s="399">
        <f>AB54+AB52</f>
        <v>1.3357999999999999</v>
      </c>
      <c r="AC9" s="250">
        <f>SQRT(AD9^2+AE9^2)*1000/(1.73*AC13)</f>
        <v>559.29846535528543</v>
      </c>
      <c r="AD9" s="398">
        <f>AD54+AD52</f>
        <v>9.7751719999999995</v>
      </c>
      <c r="AE9" s="399">
        <f>AE54+AE52</f>
        <v>1.3603999999999998</v>
      </c>
      <c r="AF9" s="250">
        <f>SQRT(AG9^2+AH9^2)*1000/(1.73*AF13)</f>
        <v>562.42336649815479</v>
      </c>
      <c r="AG9" s="398">
        <f>AG54+AG52</f>
        <v>9.8342559999999999</v>
      </c>
      <c r="AH9" s="399">
        <f>AH54+AH52</f>
        <v>1.3355000000000001</v>
      </c>
      <c r="AI9" s="250">
        <f>SQRT(AJ9^2+AK9^2)*1000/(1.73*AI13)</f>
        <v>558.84944230947042</v>
      </c>
      <c r="AJ9" s="398">
        <f>AJ54+AJ52</f>
        <v>9.7857880000000019</v>
      </c>
      <c r="AK9" s="399">
        <f>AK54+AK52</f>
        <v>1.2193000000000001</v>
      </c>
      <c r="AL9" s="250">
        <f>SQRT(AM9^2+AN9^2)*1000/(1.73*AL13)</f>
        <v>549.99523328540181</v>
      </c>
      <c r="AM9" s="398">
        <f>AM54+AM52</f>
        <v>9.6399319999999999</v>
      </c>
      <c r="AN9" s="399">
        <f>AN54+AN52</f>
        <v>1.1237999999999999</v>
      </c>
      <c r="AO9" s="250">
        <f>SQRT(AP9^2+AQ9^2)*1000/(1.73*AO13)</f>
        <v>540.19425002975436</v>
      </c>
      <c r="AP9" s="398">
        <f>AP54+AP52</f>
        <v>9.4657079999999993</v>
      </c>
      <c r="AQ9" s="399">
        <f>AQ54+AQ52</f>
        <v>1.1245000000000001</v>
      </c>
      <c r="AR9" s="284"/>
      <c r="AS9" s="393"/>
      <c r="AT9" s="400"/>
      <c r="AU9" s="400"/>
      <c r="AV9" s="231"/>
      <c r="AW9" s="231"/>
      <c r="AX9" s="231"/>
      <c r="AY9" s="231"/>
      <c r="AZ9" s="231"/>
      <c r="BA9" s="231"/>
      <c r="BB9" s="231"/>
      <c r="BC9" s="231"/>
      <c r="BD9" s="231"/>
      <c r="BE9" s="231"/>
      <c r="BF9" s="231"/>
      <c r="BG9" s="231"/>
      <c r="BH9" s="231"/>
      <c r="BI9" s="231"/>
      <c r="BJ9" s="231"/>
      <c r="BK9" s="231"/>
      <c r="BL9" s="231"/>
      <c r="BM9" s="231"/>
      <c r="BN9" s="231"/>
      <c r="BO9" s="231"/>
      <c r="BP9" s="231"/>
      <c r="BQ9" s="231"/>
      <c r="CB9" s="249"/>
      <c r="CC9" s="249"/>
      <c r="CD9" s="249"/>
      <c r="CE9" s="249"/>
    </row>
    <row r="10" spans="1:83" s="230" customFormat="1" ht="16.5" customHeight="1" thickBot="1" x14ac:dyDescent="0.3">
      <c r="A10" s="2057"/>
      <c r="B10" s="2058"/>
      <c r="C10" s="2062"/>
      <c r="D10" s="2072" t="s">
        <v>39</v>
      </c>
      <c r="E10" s="2073"/>
      <c r="F10" s="2141"/>
      <c r="G10" s="2142"/>
      <c r="H10" s="2143">
        <v>4</v>
      </c>
      <c r="I10" s="2144"/>
      <c r="J10" s="2145"/>
      <c r="K10" s="2143">
        <v>4</v>
      </c>
      <c r="L10" s="2144"/>
      <c r="M10" s="2145"/>
      <c r="N10" s="2143">
        <v>4</v>
      </c>
      <c r="O10" s="2144"/>
      <c r="P10" s="2145"/>
      <c r="Q10" s="2143">
        <v>4</v>
      </c>
      <c r="R10" s="2144"/>
      <c r="S10" s="2145"/>
      <c r="T10" s="2143">
        <v>4</v>
      </c>
      <c r="U10" s="2144"/>
      <c r="V10" s="2145"/>
      <c r="W10" s="2143">
        <v>4</v>
      </c>
      <c r="X10" s="2144"/>
      <c r="Y10" s="2145"/>
      <c r="Z10" s="2143">
        <v>4</v>
      </c>
      <c r="AA10" s="2144"/>
      <c r="AB10" s="2145"/>
      <c r="AC10" s="2143">
        <v>4</v>
      </c>
      <c r="AD10" s="2144"/>
      <c r="AE10" s="2145"/>
      <c r="AF10" s="2143">
        <v>4</v>
      </c>
      <c r="AG10" s="2144"/>
      <c r="AH10" s="2145"/>
      <c r="AI10" s="2143">
        <v>4</v>
      </c>
      <c r="AJ10" s="2144"/>
      <c r="AK10" s="2145"/>
      <c r="AL10" s="2143">
        <v>4</v>
      </c>
      <c r="AM10" s="2144"/>
      <c r="AN10" s="2145"/>
      <c r="AO10" s="2143">
        <v>4</v>
      </c>
      <c r="AP10" s="2144"/>
      <c r="AQ10" s="2145"/>
      <c r="AS10" s="231"/>
      <c r="AT10" s="231"/>
      <c r="AU10" s="231"/>
      <c r="AV10" s="231"/>
      <c r="AW10" s="231"/>
      <c r="AX10" s="231"/>
      <c r="AY10" s="231"/>
      <c r="AZ10" s="231"/>
      <c r="BA10" s="231"/>
      <c r="BB10" s="231"/>
      <c r="BC10" s="231"/>
      <c r="BD10" s="231"/>
      <c r="BE10" s="231"/>
      <c r="BF10" s="231"/>
      <c r="BG10" s="231"/>
      <c r="BH10" s="231"/>
      <c r="BI10" s="231"/>
      <c r="BJ10" s="231"/>
      <c r="BK10" s="231"/>
      <c r="BL10" s="231"/>
      <c r="BM10" s="231"/>
      <c r="BN10" s="231"/>
      <c r="BO10" s="231"/>
      <c r="BP10" s="231"/>
      <c r="BQ10" s="231"/>
    </row>
    <row r="11" spans="1:83" s="230" customFormat="1" ht="16.5" customHeight="1" x14ac:dyDescent="0.25">
      <c r="A11" s="2057"/>
      <c r="B11" s="2058"/>
      <c r="C11" s="2062"/>
      <c r="D11" s="2078" t="s">
        <v>14</v>
      </c>
      <c r="E11" s="2090"/>
      <c r="F11" s="2113" t="s">
        <v>81</v>
      </c>
      <c r="G11" s="2147"/>
      <c r="H11" s="2148">
        <v>121</v>
      </c>
      <c r="I11" s="2149"/>
      <c r="J11" s="2150"/>
      <c r="K11" s="2148">
        <v>121</v>
      </c>
      <c r="L11" s="2149"/>
      <c r="M11" s="2150"/>
      <c r="N11" s="2148">
        <v>121</v>
      </c>
      <c r="O11" s="2149"/>
      <c r="P11" s="2150"/>
      <c r="Q11" s="2148">
        <v>121</v>
      </c>
      <c r="R11" s="2149"/>
      <c r="S11" s="2150"/>
      <c r="T11" s="2148">
        <v>121</v>
      </c>
      <c r="U11" s="2149"/>
      <c r="V11" s="2150"/>
      <c r="W11" s="2148">
        <v>121</v>
      </c>
      <c r="X11" s="2149"/>
      <c r="Y11" s="2150"/>
      <c r="Z11" s="2148">
        <v>121</v>
      </c>
      <c r="AA11" s="2149"/>
      <c r="AB11" s="2150"/>
      <c r="AC11" s="2148">
        <v>121</v>
      </c>
      <c r="AD11" s="2149"/>
      <c r="AE11" s="2150"/>
      <c r="AF11" s="2148">
        <v>121</v>
      </c>
      <c r="AG11" s="2149"/>
      <c r="AH11" s="2150"/>
      <c r="AI11" s="2148">
        <v>121</v>
      </c>
      <c r="AJ11" s="2149"/>
      <c r="AK11" s="2150"/>
      <c r="AL11" s="2148">
        <v>121</v>
      </c>
      <c r="AM11" s="2149"/>
      <c r="AN11" s="2150"/>
      <c r="AO11" s="2148">
        <v>121</v>
      </c>
      <c r="AP11" s="2149"/>
      <c r="AQ11" s="2150"/>
      <c r="AS11" s="231"/>
      <c r="AT11" s="231"/>
      <c r="AU11" s="231"/>
      <c r="AV11" s="231"/>
      <c r="AW11" s="231"/>
      <c r="AX11" s="231"/>
      <c r="AY11" s="231"/>
      <c r="AZ11" s="231"/>
      <c r="BA11" s="231"/>
      <c r="BB11" s="231"/>
      <c r="BC11" s="231"/>
      <c r="BD11" s="231"/>
      <c r="BE11" s="231"/>
      <c r="BF11" s="231"/>
      <c r="BG11" s="231"/>
      <c r="BH11" s="231"/>
      <c r="BI11" s="231"/>
      <c r="BJ11" s="231"/>
      <c r="BK11" s="231"/>
      <c r="BL11" s="231"/>
      <c r="BM11" s="231"/>
      <c r="BN11" s="231"/>
      <c r="BO11" s="231"/>
      <c r="BP11" s="231"/>
      <c r="BQ11" s="231"/>
    </row>
    <row r="12" spans="1:83" s="230" customFormat="1" ht="16.5" customHeight="1" x14ac:dyDescent="0.25">
      <c r="A12" s="2057"/>
      <c r="B12" s="2058"/>
      <c r="C12" s="2062"/>
      <c r="D12" s="2057"/>
      <c r="E12" s="2146"/>
      <c r="F12" s="2151" t="s">
        <v>122</v>
      </c>
      <c r="G12" s="2152"/>
      <c r="H12" s="2153">
        <v>36</v>
      </c>
      <c r="I12" s="2154"/>
      <c r="J12" s="2155"/>
      <c r="K12" s="2153">
        <v>36</v>
      </c>
      <c r="L12" s="2154"/>
      <c r="M12" s="2155"/>
      <c r="N12" s="2153">
        <v>36</v>
      </c>
      <c r="O12" s="2154"/>
      <c r="P12" s="2155"/>
      <c r="Q12" s="2153">
        <v>36</v>
      </c>
      <c r="R12" s="2154"/>
      <c r="S12" s="2155"/>
      <c r="T12" s="2153">
        <v>36</v>
      </c>
      <c r="U12" s="2154"/>
      <c r="V12" s="2155"/>
      <c r="W12" s="2153">
        <v>36</v>
      </c>
      <c r="X12" s="2154"/>
      <c r="Y12" s="2155"/>
      <c r="Z12" s="2153">
        <v>36</v>
      </c>
      <c r="AA12" s="2154"/>
      <c r="AB12" s="2155"/>
      <c r="AC12" s="2153">
        <v>36</v>
      </c>
      <c r="AD12" s="2154"/>
      <c r="AE12" s="2155"/>
      <c r="AF12" s="2153">
        <v>36</v>
      </c>
      <c r="AG12" s="2154"/>
      <c r="AH12" s="2155"/>
      <c r="AI12" s="2153">
        <v>36</v>
      </c>
      <c r="AJ12" s="2154"/>
      <c r="AK12" s="2155"/>
      <c r="AL12" s="2153">
        <v>36</v>
      </c>
      <c r="AM12" s="2154"/>
      <c r="AN12" s="2155"/>
      <c r="AO12" s="2153">
        <v>36</v>
      </c>
      <c r="AP12" s="2154"/>
      <c r="AQ12" s="2155"/>
      <c r="AS12" s="231"/>
      <c r="AT12" s="231"/>
      <c r="AU12" s="231"/>
      <c r="AV12" s="231"/>
      <c r="AW12" s="231"/>
      <c r="AX12" s="231"/>
      <c r="AY12" s="231"/>
      <c r="AZ12" s="231"/>
      <c r="BA12" s="231"/>
      <c r="BB12" s="231"/>
      <c r="BC12" s="231"/>
      <c r="BD12" s="231"/>
      <c r="BE12" s="231"/>
      <c r="BF12" s="231"/>
      <c r="BG12" s="231"/>
      <c r="BH12" s="231"/>
      <c r="BI12" s="231"/>
      <c r="BJ12" s="231"/>
      <c r="BK12" s="231"/>
      <c r="BL12" s="231"/>
      <c r="BM12" s="231"/>
      <c r="BN12" s="231"/>
      <c r="BO12" s="231"/>
      <c r="BP12" s="231"/>
      <c r="BQ12" s="231"/>
    </row>
    <row r="13" spans="1:83" s="230" customFormat="1" ht="16.5" customHeight="1" thickBot="1" x14ac:dyDescent="0.3">
      <c r="A13" s="2057"/>
      <c r="B13" s="2058"/>
      <c r="C13" s="2062"/>
      <c r="D13" s="2059"/>
      <c r="E13" s="2091"/>
      <c r="F13" s="2156" t="s">
        <v>82</v>
      </c>
      <c r="G13" s="2157"/>
      <c r="H13" s="2158">
        <v>10.199999999999999</v>
      </c>
      <c r="I13" s="2159"/>
      <c r="J13" s="2160"/>
      <c r="K13" s="2158">
        <v>10.199999999999999</v>
      </c>
      <c r="L13" s="2159"/>
      <c r="M13" s="2160"/>
      <c r="N13" s="2158">
        <v>10.199999999999999</v>
      </c>
      <c r="O13" s="2159"/>
      <c r="P13" s="2160"/>
      <c r="Q13" s="2158">
        <v>10.199999999999999</v>
      </c>
      <c r="R13" s="2159"/>
      <c r="S13" s="2160"/>
      <c r="T13" s="2158">
        <v>10.199999999999999</v>
      </c>
      <c r="U13" s="2159"/>
      <c r="V13" s="2160"/>
      <c r="W13" s="2158">
        <v>10.199999999999999</v>
      </c>
      <c r="X13" s="2159"/>
      <c r="Y13" s="2160"/>
      <c r="Z13" s="2158">
        <v>10.199999999999999</v>
      </c>
      <c r="AA13" s="2159"/>
      <c r="AB13" s="2160"/>
      <c r="AC13" s="2158">
        <v>10.199999999999999</v>
      </c>
      <c r="AD13" s="2159"/>
      <c r="AE13" s="2160"/>
      <c r="AF13" s="2158">
        <v>10.199999999999999</v>
      </c>
      <c r="AG13" s="2159"/>
      <c r="AH13" s="2160"/>
      <c r="AI13" s="2158">
        <v>10.199999999999999</v>
      </c>
      <c r="AJ13" s="2159"/>
      <c r="AK13" s="2160"/>
      <c r="AL13" s="2158">
        <v>10.199999999999999</v>
      </c>
      <c r="AM13" s="2159"/>
      <c r="AN13" s="2160"/>
      <c r="AO13" s="2158">
        <v>10.199999999999999</v>
      </c>
      <c r="AP13" s="2159"/>
      <c r="AQ13" s="2160"/>
      <c r="AS13" s="231"/>
      <c r="AT13" s="231"/>
      <c r="AU13" s="231"/>
      <c r="AV13" s="231"/>
      <c r="AW13" s="231"/>
      <c r="AX13" s="231"/>
      <c r="AY13" s="231"/>
      <c r="AZ13" s="231"/>
      <c r="BA13" s="231"/>
      <c r="BB13" s="231"/>
      <c r="BC13" s="231"/>
      <c r="BD13" s="231"/>
      <c r="BE13" s="231"/>
      <c r="BF13" s="231"/>
      <c r="BG13" s="231"/>
      <c r="BH13" s="231"/>
      <c r="BI13" s="231"/>
      <c r="BJ13" s="231"/>
      <c r="BK13" s="231"/>
      <c r="BL13" s="231"/>
      <c r="BM13" s="231"/>
      <c r="BN13" s="231"/>
      <c r="BO13" s="231"/>
      <c r="BP13" s="231"/>
      <c r="BQ13" s="231"/>
    </row>
    <row r="14" spans="1:83" s="230" customFormat="1" ht="16.5" customHeight="1" thickBot="1" x14ac:dyDescent="0.3">
      <c r="A14" s="2059"/>
      <c r="B14" s="2060"/>
      <c r="C14" s="2063"/>
      <c r="D14" s="2072" t="s">
        <v>83</v>
      </c>
      <c r="E14" s="2073"/>
      <c r="F14" s="2120"/>
      <c r="G14" s="2161"/>
      <c r="H14" s="2143">
        <v>4</v>
      </c>
      <c r="I14" s="2144"/>
      <c r="J14" s="2145"/>
      <c r="K14" s="2143">
        <v>4</v>
      </c>
      <c r="L14" s="2144"/>
      <c r="M14" s="2145"/>
      <c r="N14" s="2143">
        <v>4</v>
      </c>
      <c r="O14" s="2144"/>
      <c r="P14" s="2145"/>
      <c r="Q14" s="2143">
        <v>4</v>
      </c>
      <c r="R14" s="2144"/>
      <c r="S14" s="2145"/>
      <c r="T14" s="2143">
        <v>4</v>
      </c>
      <c r="U14" s="2144"/>
      <c r="V14" s="2145"/>
      <c r="W14" s="2143">
        <v>4</v>
      </c>
      <c r="X14" s="2144"/>
      <c r="Y14" s="2145"/>
      <c r="Z14" s="2143">
        <v>4</v>
      </c>
      <c r="AA14" s="2144"/>
      <c r="AB14" s="2145"/>
      <c r="AC14" s="2143">
        <v>4</v>
      </c>
      <c r="AD14" s="2144"/>
      <c r="AE14" s="2145"/>
      <c r="AF14" s="2143">
        <v>4</v>
      </c>
      <c r="AG14" s="2144"/>
      <c r="AH14" s="2145"/>
      <c r="AI14" s="2143">
        <v>4</v>
      </c>
      <c r="AJ14" s="2144"/>
      <c r="AK14" s="2145"/>
      <c r="AL14" s="2143">
        <v>4</v>
      </c>
      <c r="AM14" s="2144"/>
      <c r="AN14" s="2145"/>
      <c r="AO14" s="2143">
        <v>4</v>
      </c>
      <c r="AP14" s="2144"/>
      <c r="AQ14" s="2145"/>
      <c r="AS14" s="231"/>
      <c r="AT14" s="231"/>
      <c r="AU14" s="231"/>
      <c r="AV14" s="231"/>
      <c r="AW14" s="231"/>
      <c r="AX14" s="231"/>
      <c r="AY14" s="231"/>
      <c r="AZ14" s="231"/>
      <c r="BA14" s="231"/>
      <c r="BB14" s="231"/>
      <c r="BC14" s="231"/>
      <c r="BD14" s="231"/>
      <c r="BE14" s="231"/>
      <c r="BF14" s="231"/>
      <c r="BG14" s="231"/>
      <c r="BH14" s="231"/>
      <c r="BI14" s="231"/>
      <c r="BJ14" s="231"/>
      <c r="BK14" s="231"/>
      <c r="BL14" s="231"/>
      <c r="BM14" s="231"/>
      <c r="BN14" s="231"/>
      <c r="BO14" s="231"/>
      <c r="BP14" s="231"/>
      <c r="BQ14" s="231"/>
    </row>
    <row r="15" spans="1:83" s="230" customFormat="1" ht="16.5" customHeight="1" x14ac:dyDescent="0.25">
      <c r="A15" s="2055" t="s">
        <v>1</v>
      </c>
      <c r="B15" s="2056"/>
      <c r="C15" s="2061">
        <v>16</v>
      </c>
      <c r="D15" s="2064" t="s">
        <v>13</v>
      </c>
      <c r="E15" s="2065"/>
      <c r="F15" s="2068" t="s">
        <v>81</v>
      </c>
      <c r="G15" s="2088"/>
      <c r="H15" s="403">
        <f>SQRT(I15^2+J15^2)*1000/(1.73*H19)</f>
        <v>51.158491616788893</v>
      </c>
      <c r="I15" s="391">
        <v>10.516</v>
      </c>
      <c r="J15" s="392">
        <v>2.024</v>
      </c>
      <c r="K15" s="403">
        <f>SQRT(L15^2+M15^2)*1000/(1.73*K19)</f>
        <v>50.078812985956468</v>
      </c>
      <c r="L15" s="391">
        <v>10.295999999999999</v>
      </c>
      <c r="M15" s="392">
        <v>1.9712000000000001</v>
      </c>
      <c r="N15" s="403">
        <f>SQRT(O15^2+P15^2)*1000/(1.73*N19)</f>
        <v>49.650113436262714</v>
      </c>
      <c r="O15" s="391">
        <v>10.208</v>
      </c>
      <c r="P15" s="392">
        <v>1.9536</v>
      </c>
      <c r="Q15" s="403">
        <f>SQRT(R15^2+S15^2)*1000/(1.73*Q19)</f>
        <v>49.675681457371866</v>
      </c>
      <c r="R15" s="391">
        <v>10.216799999999999</v>
      </c>
      <c r="S15" s="392">
        <v>1.9359999999999999</v>
      </c>
      <c r="T15" s="403">
        <f>SQRT(U15^2+V15^2)*1000/(1.73*T19)</f>
        <v>49.923526785977614</v>
      </c>
      <c r="U15" s="391">
        <v>10.269600000000001</v>
      </c>
      <c r="V15" s="392">
        <v>1.9359999999999999</v>
      </c>
      <c r="W15" s="403">
        <f>SQRT(X15^2+Y15^2)*1000/(1.73*W19)</f>
        <v>51.307853246941399</v>
      </c>
      <c r="X15" s="391">
        <v>10.5512</v>
      </c>
      <c r="Y15" s="392">
        <v>2.0064000000000002</v>
      </c>
      <c r="Z15" s="403">
        <f>SQRT(AA15^2+AB15^2)*1000/(1.73*Z19)</f>
        <v>53.730712412118891</v>
      </c>
      <c r="AA15" s="391">
        <v>11.044</v>
      </c>
      <c r="AB15" s="392">
        <v>2.1295999999999999</v>
      </c>
      <c r="AC15" s="403">
        <f>SQRT(AD15^2+AE15^2)*1000/(1.73*AC19)</f>
        <v>55.801296736682723</v>
      </c>
      <c r="AD15" s="391">
        <v>11.475199999999999</v>
      </c>
      <c r="AE15" s="392">
        <v>2.1823999999999999</v>
      </c>
      <c r="AF15" s="403">
        <f>SQRT(AG15^2+AH15^2)*1000/(1.73*AF19)</f>
        <v>54.548690390695697</v>
      </c>
      <c r="AG15" s="391">
        <v>11.22</v>
      </c>
      <c r="AH15" s="392">
        <v>2.1208</v>
      </c>
      <c r="AI15" s="403">
        <f>SQRT(AJ15^2+AK15^2)*1000/(1.73*AI19)</f>
        <v>53.047227634718084</v>
      </c>
      <c r="AJ15" s="391">
        <v>10.929600000000001</v>
      </c>
      <c r="AK15" s="392">
        <v>1.9623999999999999</v>
      </c>
      <c r="AL15" s="403">
        <f>SQRT(AM15^2+AN15^2)*1000/(1.73*AL19)</f>
        <v>52.464967593197898</v>
      </c>
      <c r="AM15" s="391">
        <v>10.815200000000001</v>
      </c>
      <c r="AN15" s="392">
        <v>1.9096</v>
      </c>
      <c r="AO15" s="403">
        <f>SQRT(AP15^2+AQ15^2)*1000/(1.73*AO19)</f>
        <v>52.479652077670714</v>
      </c>
      <c r="AP15" s="391">
        <v>10.815200000000001</v>
      </c>
      <c r="AQ15" s="392">
        <v>1.9272</v>
      </c>
      <c r="AR15" s="284"/>
      <c r="AS15" s="393"/>
      <c r="AT15" s="394"/>
      <c r="AU15" s="394"/>
      <c r="AV15" s="231"/>
      <c r="AW15" s="231"/>
      <c r="AX15" s="231"/>
      <c r="AY15" s="231"/>
      <c r="AZ15" s="231"/>
      <c r="BA15" s="231"/>
      <c r="BB15" s="231"/>
      <c r="BC15" s="231"/>
      <c r="BD15" s="231"/>
      <c r="BE15" s="231"/>
      <c r="BF15" s="231"/>
      <c r="BG15" s="231"/>
      <c r="BH15" s="231"/>
      <c r="BI15" s="231"/>
      <c r="BJ15" s="231"/>
      <c r="BK15" s="231"/>
      <c r="BL15" s="231"/>
      <c r="BM15" s="231"/>
      <c r="BN15" s="231"/>
      <c r="BO15" s="231"/>
      <c r="BP15" s="231"/>
      <c r="BQ15" s="231"/>
      <c r="CB15" s="249"/>
      <c r="CC15" s="249"/>
    </row>
    <row r="16" spans="1:83" s="230" customFormat="1" ht="16.5" customHeight="1" x14ac:dyDescent="0.25">
      <c r="A16" s="2136"/>
      <c r="B16" s="2058"/>
      <c r="C16" s="2062"/>
      <c r="D16" s="2137"/>
      <c r="E16" s="2138"/>
      <c r="F16" s="2139" t="s">
        <v>122</v>
      </c>
      <c r="G16" s="2162"/>
      <c r="H16" s="395">
        <f>SQRT(I16^2+J16^2)*1000/(1.73*H20)</f>
        <v>26.736441119898029</v>
      </c>
      <c r="I16" s="396">
        <f>I33</f>
        <v>1.64815</v>
      </c>
      <c r="J16" s="397">
        <f>J33</f>
        <v>0.23730000000000001</v>
      </c>
      <c r="K16" s="395">
        <f>SQRT(L16^2+M16^2)*1000/(1.73*K20)</f>
        <v>26.549678004431087</v>
      </c>
      <c r="L16" s="396">
        <f>L33</f>
        <v>1.6366000000000001</v>
      </c>
      <c r="M16" s="397">
        <f>M33</f>
        <v>0.2359</v>
      </c>
      <c r="N16" s="395">
        <f>SQRT(O16^2+P16^2)*1000/(1.73*N20)</f>
        <v>26.374838038830518</v>
      </c>
      <c r="O16" s="396">
        <f>O33</f>
        <v>1.62645</v>
      </c>
      <c r="P16" s="397">
        <f>P33</f>
        <v>0.22994999999999999</v>
      </c>
      <c r="Q16" s="395">
        <f>SQRT(R16^2+S16^2)*1000/(1.73*Q20)</f>
        <v>26.351884749251195</v>
      </c>
      <c r="R16" s="396">
        <f>R33</f>
        <v>1.6254</v>
      </c>
      <c r="S16" s="397">
        <f>S33</f>
        <v>0.22714999999999999</v>
      </c>
      <c r="T16" s="395">
        <f>SQRT(U16^2+V16^2)*1000/(1.73*T20)</f>
        <v>26.763631072247499</v>
      </c>
      <c r="U16" s="396">
        <f>U33</f>
        <v>1.6509499999999999</v>
      </c>
      <c r="V16" s="397">
        <f>V33</f>
        <v>0.2296</v>
      </c>
      <c r="W16" s="395">
        <f>SQRT(X16^2+Y16^2)*1000/(1.73*W20)</f>
        <v>27.40176133532734</v>
      </c>
      <c r="X16" s="396">
        <f>X33</f>
        <v>1.69015</v>
      </c>
      <c r="Y16" s="397">
        <f>Y33</f>
        <v>0.23624999999999999</v>
      </c>
      <c r="Z16" s="395">
        <f>SQRT(AA16^2+AB16^2)*1000/(1.73*Z20)</f>
        <v>27.35910215864704</v>
      </c>
      <c r="AA16" s="396">
        <f>AA33</f>
        <v>1.6880500000000001</v>
      </c>
      <c r="AB16" s="397">
        <f>AB33</f>
        <v>0.23205000000000001</v>
      </c>
      <c r="AC16" s="395">
        <f>SQRT(AD16^2+AE16^2)*1000/(1.73*AC20)</f>
        <v>28.630062322144081</v>
      </c>
      <c r="AD16" s="396">
        <f>AD33</f>
        <v>1.7675000000000001</v>
      </c>
      <c r="AE16" s="397">
        <f>AE33</f>
        <v>0.23519999999999999</v>
      </c>
      <c r="AF16" s="395">
        <f>SQRT(AG16^2+AH16^2)*1000/(1.73*AF20)</f>
        <v>28.119483074130795</v>
      </c>
      <c r="AG16" s="396">
        <f>AG33</f>
        <v>1.7363500000000001</v>
      </c>
      <c r="AH16" s="397">
        <f>AH33</f>
        <v>0.22819999999999999</v>
      </c>
      <c r="AI16" s="395">
        <f>SQRT(AJ16^2+AK16^2)*1000/(1.73*AI20)</f>
        <v>27.875463453785184</v>
      </c>
      <c r="AJ16" s="396">
        <f>AJ33</f>
        <v>1.7205999999999999</v>
      </c>
      <c r="AK16" s="397">
        <f>AK33</f>
        <v>0.23135</v>
      </c>
      <c r="AL16" s="395">
        <f>SQRT(AM16^2+AN16^2)*1000/(1.73*AL20)</f>
        <v>27.364669593406997</v>
      </c>
      <c r="AM16" s="396">
        <f>AM33</f>
        <v>1.6883999999999999</v>
      </c>
      <c r="AN16" s="397">
        <f>AN33</f>
        <v>0.23205000000000001</v>
      </c>
      <c r="AO16" s="395">
        <f>SQRT(AP16^2+AQ16^2)*1000/(1.73*AO20)</f>
        <v>27.018755245118552</v>
      </c>
      <c r="AP16" s="396">
        <f>AP33</f>
        <v>1.6667000000000001</v>
      </c>
      <c r="AQ16" s="397">
        <f>AQ33</f>
        <v>0.23169999999999999</v>
      </c>
      <c r="AR16" s="284"/>
      <c r="AS16" s="393"/>
      <c r="AT16" s="394"/>
      <c r="AU16" s="394"/>
      <c r="AV16" s="231"/>
      <c r="AW16" s="231"/>
      <c r="AX16" s="231"/>
      <c r="AY16" s="231"/>
      <c r="AZ16" s="231"/>
      <c r="BA16" s="231"/>
      <c r="BB16" s="231"/>
      <c r="BC16" s="231"/>
      <c r="BD16" s="231"/>
      <c r="BE16" s="231"/>
      <c r="BF16" s="231"/>
      <c r="BG16" s="231"/>
      <c r="BH16" s="231"/>
      <c r="BI16" s="231"/>
      <c r="BJ16" s="231"/>
      <c r="BK16" s="231"/>
      <c r="BL16" s="231"/>
      <c r="BM16" s="231"/>
      <c r="BN16" s="231"/>
      <c r="BO16" s="231"/>
      <c r="BP16" s="231"/>
      <c r="BQ16" s="231"/>
      <c r="CB16" s="249"/>
      <c r="CC16" s="249"/>
    </row>
    <row r="17" spans="1:81" s="230" customFormat="1" ht="16.5" customHeight="1" thickBot="1" x14ac:dyDescent="0.3">
      <c r="A17" s="2057"/>
      <c r="B17" s="2058"/>
      <c r="C17" s="2062"/>
      <c r="D17" s="2066"/>
      <c r="E17" s="2067"/>
      <c r="F17" s="2070" t="s">
        <v>82</v>
      </c>
      <c r="G17" s="2089"/>
      <c r="H17" s="250">
        <f>SQRT(I17^2+J17^2)*1000/(1.73*H21)</f>
        <v>510.36952552369689</v>
      </c>
      <c r="I17" s="398">
        <f>I55+I53</f>
        <v>8.9209279999999982</v>
      </c>
      <c r="J17" s="399">
        <f>J55+J53</f>
        <v>1.2347999999999999</v>
      </c>
      <c r="K17" s="250">
        <f>SQRT(L17^2+M17^2)*1000/(1.73*K21)</f>
        <v>498.97825253964169</v>
      </c>
      <c r="L17" s="398">
        <f>L55+L53</f>
        <v>8.7202080000000013</v>
      </c>
      <c r="M17" s="399">
        <f>M55+M53</f>
        <v>1.2188000000000001</v>
      </c>
      <c r="N17" s="250">
        <f>SQRT(O17^2+P17^2)*1000/(1.73*N21)</f>
        <v>494.28459761388899</v>
      </c>
      <c r="O17" s="398">
        <f>O55+O53</f>
        <v>8.6367120000000011</v>
      </c>
      <c r="P17" s="399">
        <f>P55+P53</f>
        <v>1.2178</v>
      </c>
      <c r="Q17" s="250">
        <f>SQRT(R17^2+S17^2)*1000/(1.73*Q21)</f>
        <v>495.27918687288781</v>
      </c>
      <c r="R17" s="398">
        <f>R55+R53</f>
        <v>8.6560880000000004</v>
      </c>
      <c r="S17" s="399">
        <f>S55+S53</f>
        <v>1.206</v>
      </c>
      <c r="T17" s="250">
        <f>SQRT(U17^2+V17^2)*1000/(1.73*T21)</f>
        <v>496.27941737843071</v>
      </c>
      <c r="U17" s="398">
        <f>U55+U53</f>
        <v>8.6760079999999995</v>
      </c>
      <c r="V17" s="399">
        <f>V55+V53</f>
        <v>1.1908000000000001</v>
      </c>
      <c r="W17" s="250">
        <f>SQRT(X17^2+Y17^2)*1000/(1.73*W21)</f>
        <v>510.34994284931929</v>
      </c>
      <c r="X17" s="398">
        <f>X55+X53</f>
        <v>8.9220400000000009</v>
      </c>
      <c r="Y17" s="399">
        <f>Y55+Y53</f>
        <v>1.2242</v>
      </c>
      <c r="Z17" s="250">
        <f>SQRT(AA17^2+AB17^2)*1000/(1.73*Z21)</f>
        <v>538.75705104077065</v>
      </c>
      <c r="AA17" s="398">
        <f>AA55+AA53</f>
        <v>9.421832000000002</v>
      </c>
      <c r="AB17" s="399">
        <f>AB55+AB53</f>
        <v>1.2690000000000001</v>
      </c>
      <c r="AC17" s="250">
        <f>SQRT(AD17^2+AE17^2)*1000/(1.73*AC21)</f>
        <v>558.27356718270846</v>
      </c>
      <c r="AD17" s="398">
        <f>AD55+AD53</f>
        <v>9.7704880000000003</v>
      </c>
      <c r="AE17" s="399">
        <f>AE55+AE53</f>
        <v>1.2592000000000001</v>
      </c>
      <c r="AF17" s="250">
        <f>SQRT(AG17^2+AH17^2)*1000/(1.73*AF21)</f>
        <v>545.64932226394899</v>
      </c>
      <c r="AG17" s="398">
        <f>AG55+AG53</f>
        <v>9.5479840000000014</v>
      </c>
      <c r="AH17" s="399">
        <f>AH55+AH53</f>
        <v>1.2427999999999999</v>
      </c>
      <c r="AI17" s="250">
        <f>SQRT(AJ17^2+AK17^2)*1000/(1.73*AI21)</f>
        <v>529.07473124696037</v>
      </c>
      <c r="AJ17" s="398">
        <f>AJ55+AJ53</f>
        <v>9.2694719999999986</v>
      </c>
      <c r="AK17" s="399">
        <f>AK55+AK53</f>
        <v>1.113</v>
      </c>
      <c r="AL17" s="250">
        <f>SQRT(AM17^2+AN17^2)*1000/(1.73*AL21)</f>
        <v>524.61576698404122</v>
      </c>
      <c r="AM17" s="398">
        <f>AM55+AM53</f>
        <v>9.1934959999999979</v>
      </c>
      <c r="AN17" s="399">
        <f>AN55+AN53</f>
        <v>1.0855999999999999</v>
      </c>
      <c r="AO17" s="250">
        <f>SQRT(AP17^2+AQ17^2)*1000/(1.73*AO21)</f>
        <v>526.11138067369438</v>
      </c>
      <c r="AP17" s="398">
        <f>AP55+AP53</f>
        <v>9.2195040000000024</v>
      </c>
      <c r="AQ17" s="399">
        <f>AQ55+AQ53</f>
        <v>1.0904</v>
      </c>
      <c r="AR17" s="284"/>
      <c r="AS17" s="393"/>
      <c r="AT17" s="400"/>
      <c r="AU17" s="400"/>
      <c r="AV17" s="231"/>
      <c r="AW17" s="231"/>
      <c r="AX17" s="231"/>
      <c r="AY17" s="231"/>
      <c r="AZ17" s="231"/>
      <c r="BA17" s="231"/>
      <c r="BB17" s="231"/>
      <c r="BC17" s="231"/>
      <c r="BD17" s="231"/>
      <c r="BE17" s="231"/>
      <c r="BF17" s="231"/>
      <c r="BG17" s="231"/>
      <c r="BH17" s="231"/>
      <c r="BI17" s="231"/>
      <c r="BJ17" s="231"/>
      <c r="BK17" s="231"/>
      <c r="BL17" s="231"/>
      <c r="BM17" s="231"/>
      <c r="BN17" s="231"/>
      <c r="BO17" s="231"/>
      <c r="BP17" s="231"/>
      <c r="BQ17" s="231"/>
      <c r="CB17" s="249"/>
      <c r="CC17" s="249"/>
    </row>
    <row r="18" spans="1:81" s="230" customFormat="1" ht="16.5" customHeight="1" thickBot="1" x14ac:dyDescent="0.3">
      <c r="A18" s="2057"/>
      <c r="B18" s="2058"/>
      <c r="C18" s="2062"/>
      <c r="D18" s="2072" t="s">
        <v>39</v>
      </c>
      <c r="E18" s="2073"/>
      <c r="F18" s="2073"/>
      <c r="G18" s="2074"/>
      <c r="H18" s="2143">
        <v>4</v>
      </c>
      <c r="I18" s="2144"/>
      <c r="J18" s="2145"/>
      <c r="K18" s="2143">
        <v>5</v>
      </c>
      <c r="L18" s="2144"/>
      <c r="M18" s="2145"/>
      <c r="N18" s="2143">
        <v>5</v>
      </c>
      <c r="O18" s="2144"/>
      <c r="P18" s="2145"/>
      <c r="Q18" s="2143">
        <v>5</v>
      </c>
      <c r="R18" s="2144"/>
      <c r="S18" s="2145"/>
      <c r="T18" s="2143">
        <v>5</v>
      </c>
      <c r="U18" s="2144"/>
      <c r="V18" s="2145"/>
      <c r="W18" s="2143">
        <v>5</v>
      </c>
      <c r="X18" s="2144"/>
      <c r="Y18" s="2145"/>
      <c r="Z18" s="2143">
        <v>5</v>
      </c>
      <c r="AA18" s="2144"/>
      <c r="AB18" s="2145"/>
      <c r="AC18" s="2143">
        <v>5</v>
      </c>
      <c r="AD18" s="2144"/>
      <c r="AE18" s="2145"/>
      <c r="AF18" s="2143">
        <v>5</v>
      </c>
      <c r="AG18" s="2144"/>
      <c r="AH18" s="2145"/>
      <c r="AI18" s="2143">
        <v>5</v>
      </c>
      <c r="AJ18" s="2144"/>
      <c r="AK18" s="2145"/>
      <c r="AL18" s="2143">
        <v>5</v>
      </c>
      <c r="AM18" s="2144"/>
      <c r="AN18" s="2145"/>
      <c r="AO18" s="2143">
        <v>5</v>
      </c>
      <c r="AP18" s="2144"/>
      <c r="AQ18" s="2145"/>
      <c r="AS18" s="231"/>
      <c r="AT18" s="231"/>
      <c r="AU18" s="231"/>
      <c r="AV18" s="231"/>
      <c r="AW18" s="231"/>
      <c r="AX18" s="231"/>
      <c r="AY18" s="231"/>
      <c r="AZ18" s="231"/>
      <c r="BA18" s="231"/>
      <c r="BB18" s="231"/>
      <c r="BC18" s="231"/>
      <c r="BD18" s="231"/>
      <c r="BE18" s="231"/>
      <c r="BF18" s="231"/>
      <c r="BG18" s="231"/>
      <c r="BH18" s="231"/>
      <c r="BI18" s="231"/>
      <c r="BJ18" s="231"/>
      <c r="BK18" s="231"/>
      <c r="BL18" s="231"/>
      <c r="BM18" s="231"/>
      <c r="BN18" s="231"/>
      <c r="BO18" s="231"/>
      <c r="BP18" s="231"/>
      <c r="BQ18" s="231"/>
    </row>
    <row r="19" spans="1:81" s="230" customFormat="1" ht="16.5" customHeight="1" x14ac:dyDescent="0.25">
      <c r="A19" s="2057"/>
      <c r="B19" s="2058"/>
      <c r="C19" s="2062"/>
      <c r="D19" s="2078" t="s">
        <v>14</v>
      </c>
      <c r="E19" s="2090"/>
      <c r="F19" s="2113" t="s">
        <v>81</v>
      </c>
      <c r="G19" s="2147"/>
      <c r="H19" s="2148">
        <v>121</v>
      </c>
      <c r="I19" s="2149"/>
      <c r="J19" s="2150"/>
      <c r="K19" s="2148">
        <v>121</v>
      </c>
      <c r="L19" s="2149"/>
      <c r="M19" s="2150"/>
      <c r="N19" s="2148">
        <v>121</v>
      </c>
      <c r="O19" s="2149"/>
      <c r="P19" s="2150"/>
      <c r="Q19" s="2148">
        <v>121</v>
      </c>
      <c r="R19" s="2149"/>
      <c r="S19" s="2150"/>
      <c r="T19" s="2148">
        <v>121</v>
      </c>
      <c r="U19" s="2149"/>
      <c r="V19" s="2150"/>
      <c r="W19" s="2148">
        <v>121</v>
      </c>
      <c r="X19" s="2149"/>
      <c r="Y19" s="2150"/>
      <c r="Z19" s="2148">
        <v>121</v>
      </c>
      <c r="AA19" s="2149"/>
      <c r="AB19" s="2150"/>
      <c r="AC19" s="2148">
        <v>121</v>
      </c>
      <c r="AD19" s="2149"/>
      <c r="AE19" s="2150"/>
      <c r="AF19" s="2148">
        <v>121</v>
      </c>
      <c r="AG19" s="2149"/>
      <c r="AH19" s="2150"/>
      <c r="AI19" s="2148">
        <v>121</v>
      </c>
      <c r="AJ19" s="2149"/>
      <c r="AK19" s="2150"/>
      <c r="AL19" s="2148">
        <v>121</v>
      </c>
      <c r="AM19" s="2149"/>
      <c r="AN19" s="2150"/>
      <c r="AO19" s="2148">
        <v>121</v>
      </c>
      <c r="AP19" s="2149"/>
      <c r="AQ19" s="2150"/>
      <c r="AS19" s="231"/>
      <c r="AT19" s="231"/>
      <c r="AU19" s="231"/>
      <c r="AV19" s="231"/>
      <c r="AW19" s="231"/>
      <c r="AX19" s="231"/>
      <c r="AY19" s="231"/>
      <c r="AZ19" s="231"/>
      <c r="BA19" s="231"/>
      <c r="BB19" s="231"/>
      <c r="BC19" s="231"/>
      <c r="BD19" s="231"/>
      <c r="BE19" s="231"/>
      <c r="BF19" s="231"/>
      <c r="BG19" s="231"/>
      <c r="BH19" s="231"/>
      <c r="BI19" s="231"/>
      <c r="BJ19" s="231"/>
      <c r="BK19" s="231"/>
      <c r="BL19" s="231"/>
      <c r="BM19" s="231"/>
      <c r="BN19" s="231"/>
      <c r="BO19" s="231"/>
      <c r="BP19" s="231"/>
      <c r="BQ19" s="231"/>
    </row>
    <row r="20" spans="1:81" s="230" customFormat="1" ht="16.5" customHeight="1" x14ac:dyDescent="0.25">
      <c r="A20" s="2057"/>
      <c r="B20" s="2058"/>
      <c r="C20" s="2062"/>
      <c r="D20" s="2057"/>
      <c r="E20" s="2146"/>
      <c r="F20" s="2151" t="s">
        <v>122</v>
      </c>
      <c r="G20" s="2152"/>
      <c r="H20" s="2153">
        <v>36</v>
      </c>
      <c r="I20" s="2154"/>
      <c r="J20" s="2155"/>
      <c r="K20" s="2153">
        <v>36</v>
      </c>
      <c r="L20" s="2154"/>
      <c r="M20" s="2155"/>
      <c r="N20" s="2153">
        <v>36</v>
      </c>
      <c r="O20" s="2154"/>
      <c r="P20" s="2155"/>
      <c r="Q20" s="2153">
        <v>36</v>
      </c>
      <c r="R20" s="2154"/>
      <c r="S20" s="2155"/>
      <c r="T20" s="2153">
        <v>36</v>
      </c>
      <c r="U20" s="2154"/>
      <c r="V20" s="2155"/>
      <c r="W20" s="2153">
        <v>36</v>
      </c>
      <c r="X20" s="2154"/>
      <c r="Y20" s="2155"/>
      <c r="Z20" s="2153">
        <v>36</v>
      </c>
      <c r="AA20" s="2154"/>
      <c r="AB20" s="2155"/>
      <c r="AC20" s="2153">
        <v>36</v>
      </c>
      <c r="AD20" s="2154"/>
      <c r="AE20" s="2155"/>
      <c r="AF20" s="2153">
        <v>36</v>
      </c>
      <c r="AG20" s="2154"/>
      <c r="AH20" s="2155"/>
      <c r="AI20" s="2153">
        <v>36</v>
      </c>
      <c r="AJ20" s="2154"/>
      <c r="AK20" s="2155"/>
      <c r="AL20" s="2153">
        <v>36</v>
      </c>
      <c r="AM20" s="2154"/>
      <c r="AN20" s="2155"/>
      <c r="AO20" s="2153">
        <v>36</v>
      </c>
      <c r="AP20" s="2154"/>
      <c r="AQ20" s="2155"/>
      <c r="AS20" s="231"/>
      <c r="AT20" s="231"/>
      <c r="AU20" s="231"/>
      <c r="AV20" s="231"/>
      <c r="AW20" s="231"/>
      <c r="AX20" s="231"/>
      <c r="AY20" s="231"/>
      <c r="AZ20" s="231"/>
      <c r="BA20" s="231"/>
      <c r="BB20" s="231"/>
      <c r="BC20" s="231"/>
      <c r="BD20" s="231"/>
      <c r="BE20" s="231"/>
      <c r="BF20" s="231"/>
      <c r="BG20" s="231"/>
      <c r="BH20" s="231"/>
      <c r="BI20" s="231"/>
      <c r="BJ20" s="231"/>
      <c r="BK20" s="231"/>
      <c r="BL20" s="231"/>
      <c r="BM20" s="231"/>
      <c r="BN20" s="231"/>
      <c r="BO20" s="231"/>
      <c r="BP20" s="231"/>
      <c r="BQ20" s="231"/>
    </row>
    <row r="21" spans="1:81" s="230" customFormat="1" ht="16.5" customHeight="1" thickBot="1" x14ac:dyDescent="0.3">
      <c r="A21" s="2057"/>
      <c r="B21" s="2058"/>
      <c r="C21" s="2062"/>
      <c r="D21" s="2059"/>
      <c r="E21" s="2091"/>
      <c r="F21" s="2156" t="s">
        <v>82</v>
      </c>
      <c r="G21" s="2157"/>
      <c r="H21" s="2158">
        <v>10.199999999999999</v>
      </c>
      <c r="I21" s="2159"/>
      <c r="J21" s="2160"/>
      <c r="K21" s="2158">
        <v>10.199999999999999</v>
      </c>
      <c r="L21" s="2159"/>
      <c r="M21" s="2160"/>
      <c r="N21" s="2158">
        <v>10.199999999999999</v>
      </c>
      <c r="O21" s="2159"/>
      <c r="P21" s="2160"/>
      <c r="Q21" s="2158">
        <v>10.199999999999999</v>
      </c>
      <c r="R21" s="2159"/>
      <c r="S21" s="2160"/>
      <c r="T21" s="2158">
        <v>10.199999999999999</v>
      </c>
      <c r="U21" s="2159"/>
      <c r="V21" s="2160"/>
      <c r="W21" s="2158">
        <v>10.199999999999999</v>
      </c>
      <c r="X21" s="2159"/>
      <c r="Y21" s="2160"/>
      <c r="Z21" s="2158">
        <v>10.199999999999999</v>
      </c>
      <c r="AA21" s="2159"/>
      <c r="AB21" s="2160"/>
      <c r="AC21" s="2158">
        <v>10.199999999999999</v>
      </c>
      <c r="AD21" s="2159"/>
      <c r="AE21" s="2160"/>
      <c r="AF21" s="2158">
        <v>10.199999999999999</v>
      </c>
      <c r="AG21" s="2159"/>
      <c r="AH21" s="2160"/>
      <c r="AI21" s="2158">
        <v>10.199999999999999</v>
      </c>
      <c r="AJ21" s="2159"/>
      <c r="AK21" s="2160"/>
      <c r="AL21" s="2158">
        <v>10.199999999999999</v>
      </c>
      <c r="AM21" s="2159"/>
      <c r="AN21" s="2160"/>
      <c r="AO21" s="2158">
        <v>10.199999999999999</v>
      </c>
      <c r="AP21" s="2159"/>
      <c r="AQ21" s="2160"/>
      <c r="AS21" s="231"/>
      <c r="AT21" s="231"/>
      <c r="AU21" s="231"/>
      <c r="AV21" s="231"/>
      <c r="AW21" s="231"/>
      <c r="AX21" s="231"/>
      <c r="AY21" s="231"/>
      <c r="AZ21" s="231"/>
      <c r="BA21" s="231"/>
      <c r="BB21" s="231"/>
      <c r="BC21" s="231"/>
      <c r="BD21" s="231"/>
      <c r="BE21" s="231"/>
      <c r="BF21" s="231"/>
      <c r="BG21" s="231"/>
      <c r="BH21" s="231"/>
      <c r="BI21" s="231"/>
      <c r="BJ21" s="231"/>
      <c r="BK21" s="231"/>
      <c r="BL21" s="231"/>
      <c r="BM21" s="231"/>
      <c r="BN21" s="231"/>
      <c r="BO21" s="231"/>
      <c r="BP21" s="231"/>
      <c r="BQ21" s="231"/>
    </row>
    <row r="22" spans="1:81" s="230" customFormat="1" ht="16.5" customHeight="1" thickBot="1" x14ac:dyDescent="0.3">
      <c r="A22" s="2059"/>
      <c r="B22" s="2060"/>
      <c r="C22" s="2063"/>
      <c r="D22" s="2072" t="s">
        <v>83</v>
      </c>
      <c r="E22" s="2073"/>
      <c r="F22" s="2073"/>
      <c r="G22" s="2074"/>
      <c r="H22" s="2134" t="s">
        <v>84</v>
      </c>
      <c r="I22" s="2076"/>
      <c r="J22" s="2077"/>
      <c r="K22" s="2134" t="s">
        <v>84</v>
      </c>
      <c r="L22" s="2076"/>
      <c r="M22" s="2077"/>
      <c r="N22" s="2134"/>
      <c r="O22" s="2076"/>
      <c r="P22" s="2077"/>
      <c r="Q22" s="2134" t="s">
        <v>84</v>
      </c>
      <c r="R22" s="2076"/>
      <c r="S22" s="2077"/>
      <c r="T22" s="2134" t="s">
        <v>84</v>
      </c>
      <c r="U22" s="2076"/>
      <c r="V22" s="2077"/>
      <c r="W22" s="2134" t="s">
        <v>84</v>
      </c>
      <c r="X22" s="2076"/>
      <c r="Y22" s="2077"/>
      <c r="Z22" s="2134" t="s">
        <v>84</v>
      </c>
      <c r="AA22" s="2076"/>
      <c r="AB22" s="2077"/>
      <c r="AC22" s="2134" t="s">
        <v>84</v>
      </c>
      <c r="AD22" s="2076"/>
      <c r="AE22" s="2077"/>
      <c r="AF22" s="2134" t="s">
        <v>84</v>
      </c>
      <c r="AG22" s="2076"/>
      <c r="AH22" s="2077"/>
      <c r="AI22" s="2134"/>
      <c r="AJ22" s="2076"/>
      <c r="AK22" s="2077"/>
      <c r="AL22" s="2134" t="s">
        <v>84</v>
      </c>
      <c r="AM22" s="2076"/>
      <c r="AN22" s="2077"/>
      <c r="AO22" s="2134" t="s">
        <v>84</v>
      </c>
      <c r="AP22" s="2076"/>
      <c r="AQ22" s="2077"/>
      <c r="AS22" s="231"/>
      <c r="AT22" s="231"/>
      <c r="AU22" s="231"/>
      <c r="AV22" s="231"/>
      <c r="AW22" s="231"/>
      <c r="AX22" s="231"/>
      <c r="AY22" s="231"/>
      <c r="AZ22" s="231"/>
      <c r="BA22" s="231"/>
      <c r="BB22" s="231"/>
      <c r="BC22" s="231"/>
      <c r="BD22" s="231"/>
      <c r="BE22" s="231"/>
      <c r="BF22" s="231"/>
      <c r="BG22" s="231"/>
      <c r="BH22" s="231"/>
      <c r="BI22" s="231"/>
      <c r="BJ22" s="231"/>
      <c r="BK22" s="231"/>
      <c r="BL22" s="231"/>
      <c r="BM22" s="231"/>
      <c r="BN22" s="231"/>
      <c r="BO22" s="231"/>
      <c r="BP22" s="231"/>
      <c r="BQ22" s="231"/>
    </row>
    <row r="23" spans="1:81" s="230" customFormat="1" ht="16.5" customHeight="1" x14ac:dyDescent="0.25">
      <c r="A23" s="2078" t="s">
        <v>86</v>
      </c>
      <c r="B23" s="2090"/>
      <c r="C23" s="2056"/>
      <c r="D23" s="2092"/>
      <c r="E23" s="2093"/>
      <c r="F23" s="2113" t="s">
        <v>81</v>
      </c>
      <c r="G23" s="2147"/>
      <c r="H23" s="404">
        <f>H15+H7</f>
        <v>98.262777270244158</v>
      </c>
      <c r="I23" s="247">
        <f>I15+I7</f>
        <v>20.160800000000002</v>
      </c>
      <c r="J23" s="248">
        <f>J15+J7</f>
        <v>4.0743999999999998</v>
      </c>
      <c r="K23" s="404">
        <f t="shared" ref="K23:AQ25" si="0">K15+K7</f>
        <v>96.689777337495286</v>
      </c>
      <c r="L23" s="247">
        <f t="shared" si="0"/>
        <v>19.8352</v>
      </c>
      <c r="M23" s="248">
        <f t="shared" si="0"/>
        <v>4.0215999999999994</v>
      </c>
      <c r="N23" s="404">
        <f t="shared" si="0"/>
        <v>95.823586563313896</v>
      </c>
      <c r="O23" s="247">
        <f t="shared" si="0"/>
        <v>19.659199999999998</v>
      </c>
      <c r="P23" s="248">
        <f t="shared" si="0"/>
        <v>3.9775999999999998</v>
      </c>
      <c r="Q23" s="404">
        <f t="shared" si="0"/>
        <v>95.29717071069922</v>
      </c>
      <c r="R23" s="247">
        <f t="shared" si="0"/>
        <v>19.553599999999999</v>
      </c>
      <c r="S23" s="248">
        <f t="shared" si="0"/>
        <v>3.9424000000000001</v>
      </c>
      <c r="T23" s="404">
        <f t="shared" si="0"/>
        <v>95.997225239830271</v>
      </c>
      <c r="U23" s="247">
        <f t="shared" si="0"/>
        <v>19.703200000000002</v>
      </c>
      <c r="V23" s="248">
        <f t="shared" si="0"/>
        <v>3.9424000000000001</v>
      </c>
      <c r="W23" s="404">
        <f t="shared" si="0"/>
        <v>97.957380447388076</v>
      </c>
      <c r="X23" s="247">
        <f t="shared" si="0"/>
        <v>20.108000000000001</v>
      </c>
      <c r="Y23" s="248">
        <f t="shared" si="0"/>
        <v>4.0128000000000004</v>
      </c>
      <c r="Z23" s="404">
        <f t="shared" si="0"/>
        <v>102.79650402043131</v>
      </c>
      <c r="AA23" s="247">
        <f t="shared" si="0"/>
        <v>21.093600000000002</v>
      </c>
      <c r="AB23" s="248">
        <f t="shared" si="0"/>
        <v>4.2504</v>
      </c>
      <c r="AC23" s="404">
        <f t="shared" si="0"/>
        <v>107.29853739706849</v>
      </c>
      <c r="AD23" s="247">
        <f t="shared" si="0"/>
        <v>22.026399999999999</v>
      </c>
      <c r="AE23" s="248">
        <f t="shared" si="0"/>
        <v>4.3911999999999995</v>
      </c>
      <c r="AF23" s="404">
        <f t="shared" si="0"/>
        <v>106.45747199336652</v>
      </c>
      <c r="AG23" s="247">
        <f t="shared" si="0"/>
        <v>21.859200000000001</v>
      </c>
      <c r="AH23" s="248">
        <f t="shared" si="0"/>
        <v>4.3296000000000001</v>
      </c>
      <c r="AI23" s="404">
        <f t="shared" si="0"/>
        <v>104.29623333060036</v>
      </c>
      <c r="AJ23" s="247">
        <f t="shared" si="0"/>
        <v>21.463200000000001</v>
      </c>
      <c r="AK23" s="248">
        <f t="shared" si="0"/>
        <v>3.9951999999999996</v>
      </c>
      <c r="AL23" s="404">
        <f t="shared" si="0"/>
        <v>102.59050003763582</v>
      </c>
      <c r="AM23" s="247">
        <f t="shared" si="0"/>
        <v>21.137599999999999</v>
      </c>
      <c r="AN23" s="248">
        <f t="shared" si="0"/>
        <v>3.7927999999999997</v>
      </c>
      <c r="AO23" s="404">
        <f t="shared" si="0"/>
        <v>102.10899181290488</v>
      </c>
      <c r="AP23" s="247">
        <f t="shared" si="0"/>
        <v>21.032</v>
      </c>
      <c r="AQ23" s="248">
        <f t="shared" si="0"/>
        <v>3.8104</v>
      </c>
      <c r="AR23" s="284"/>
      <c r="AS23" s="393"/>
      <c r="AT23" s="394"/>
      <c r="AU23" s="394"/>
      <c r="AV23" s="231"/>
      <c r="AW23" s="231"/>
      <c r="AX23" s="231"/>
      <c r="AY23" s="231"/>
      <c r="AZ23" s="231"/>
      <c r="BA23" s="231"/>
      <c r="BB23" s="231"/>
      <c r="BC23" s="231"/>
      <c r="BD23" s="231"/>
      <c r="BE23" s="231"/>
      <c r="BF23" s="231"/>
      <c r="BG23" s="231"/>
      <c r="BH23" s="231"/>
      <c r="BI23" s="231"/>
      <c r="BJ23" s="231"/>
      <c r="BK23" s="231"/>
      <c r="BL23" s="231"/>
      <c r="BM23" s="231"/>
      <c r="BN23" s="231"/>
      <c r="BO23" s="231"/>
      <c r="BP23" s="231"/>
      <c r="BQ23" s="231"/>
    </row>
    <row r="24" spans="1:81" s="230" customFormat="1" ht="16.5" customHeight="1" x14ac:dyDescent="0.25">
      <c r="A24" s="2057"/>
      <c r="B24" s="2146"/>
      <c r="C24" s="2058"/>
      <c r="D24" s="2163"/>
      <c r="E24" s="2164"/>
      <c r="F24" s="2151" t="s">
        <v>122</v>
      </c>
      <c r="G24" s="2152"/>
      <c r="H24" s="395">
        <f t="shared" ref="H24:J25" si="1">H16+H8</f>
        <v>39.173722544808918</v>
      </c>
      <c r="I24" s="405">
        <f>I16+I8</f>
        <v>2.40415</v>
      </c>
      <c r="J24" s="406">
        <f t="shared" si="1"/>
        <v>0.40600000000000003</v>
      </c>
      <c r="K24" s="395">
        <f t="shared" si="0"/>
        <v>39.596591409745571</v>
      </c>
      <c r="L24" s="405">
        <f t="shared" si="0"/>
        <v>2.4279500000000001</v>
      </c>
      <c r="M24" s="406">
        <f t="shared" si="0"/>
        <v>0.42035</v>
      </c>
      <c r="N24" s="395">
        <f t="shared" si="0"/>
        <v>39.458927997705672</v>
      </c>
      <c r="O24" s="405">
        <f t="shared" si="0"/>
        <v>2.4213</v>
      </c>
      <c r="P24" s="406">
        <f t="shared" si="0"/>
        <v>0.40949999999999998</v>
      </c>
      <c r="Q24" s="395">
        <f t="shared" si="0"/>
        <v>38.947054133683451</v>
      </c>
      <c r="R24" s="405">
        <f t="shared" si="0"/>
        <v>2.3908499999999999</v>
      </c>
      <c r="S24" s="406">
        <f t="shared" si="0"/>
        <v>0.39865</v>
      </c>
      <c r="T24" s="395">
        <f t="shared" si="0"/>
        <v>39.878848152067683</v>
      </c>
      <c r="U24" s="405">
        <f t="shared" si="0"/>
        <v>2.4475499999999997</v>
      </c>
      <c r="V24" s="406">
        <f t="shared" si="0"/>
        <v>0.41020000000000001</v>
      </c>
      <c r="W24" s="395">
        <f t="shared" si="0"/>
        <v>39.504440909796543</v>
      </c>
      <c r="X24" s="405">
        <f t="shared" si="0"/>
        <v>2.4255</v>
      </c>
      <c r="Y24" s="406">
        <f t="shared" si="0"/>
        <v>0.40179999999999999</v>
      </c>
      <c r="Z24" s="395">
        <f t="shared" si="0"/>
        <v>41.091107283878955</v>
      </c>
      <c r="AA24" s="405">
        <f t="shared" si="0"/>
        <v>2.5224500000000001</v>
      </c>
      <c r="AB24" s="406">
        <f t="shared" si="0"/>
        <v>0.41964999999999997</v>
      </c>
      <c r="AC24" s="395">
        <f>AC16+AC8</f>
        <v>42.221642164401317</v>
      </c>
      <c r="AD24" s="405">
        <f>AD16+AD8</f>
        <v>2.5952500000000001</v>
      </c>
      <c r="AE24" s="406">
        <f t="shared" si="0"/>
        <v>0.4123</v>
      </c>
      <c r="AF24" s="395">
        <f t="shared" si="0"/>
        <v>42.065549520727643</v>
      </c>
      <c r="AG24" s="405">
        <f t="shared" si="0"/>
        <v>2.5861499999999999</v>
      </c>
      <c r="AH24" s="406">
        <f t="shared" si="0"/>
        <v>0.40774999999999995</v>
      </c>
      <c r="AI24" s="395">
        <f t="shared" si="0"/>
        <v>40.730423730366745</v>
      </c>
      <c r="AJ24" s="405">
        <f t="shared" si="0"/>
        <v>2.5101999999999998</v>
      </c>
      <c r="AK24" s="406">
        <f t="shared" si="0"/>
        <v>0.36365000000000003</v>
      </c>
      <c r="AL24" s="395">
        <f t="shared" si="0"/>
        <v>39.319457639230563</v>
      </c>
      <c r="AM24" s="405">
        <f t="shared" si="0"/>
        <v>2.4251499999999999</v>
      </c>
      <c r="AN24" s="406">
        <f t="shared" si="0"/>
        <v>0.33950000000000002</v>
      </c>
      <c r="AO24" s="395">
        <f t="shared" si="0"/>
        <v>40.013674892917578</v>
      </c>
      <c r="AP24" s="405">
        <f t="shared" si="0"/>
        <v>2.4661</v>
      </c>
      <c r="AQ24" s="406">
        <f t="shared" si="0"/>
        <v>0.35804999999999998</v>
      </c>
      <c r="AR24" s="284"/>
      <c r="AS24" s="393"/>
      <c r="AT24" s="394"/>
      <c r="AU24" s="394"/>
      <c r="AV24" s="231"/>
      <c r="AW24" s="231"/>
      <c r="AX24" s="231"/>
      <c r="AY24" s="231"/>
      <c r="AZ24" s="231"/>
      <c r="BA24" s="231"/>
      <c r="BB24" s="231"/>
      <c r="BC24" s="231"/>
      <c r="BD24" s="231"/>
      <c r="BE24" s="231"/>
      <c r="BF24" s="231"/>
      <c r="BG24" s="231"/>
      <c r="BH24" s="231"/>
      <c r="BI24" s="231"/>
      <c r="BJ24" s="231"/>
      <c r="BK24" s="231"/>
      <c r="BL24" s="231"/>
      <c r="BM24" s="231"/>
      <c r="BN24" s="231"/>
      <c r="BO24" s="231"/>
      <c r="BP24" s="231"/>
      <c r="BQ24" s="231"/>
    </row>
    <row r="25" spans="1:81" s="230" customFormat="1" ht="16.5" customHeight="1" thickBot="1" x14ac:dyDescent="0.3">
      <c r="A25" s="2059"/>
      <c r="B25" s="2091"/>
      <c r="C25" s="2060"/>
      <c r="D25" s="2094"/>
      <c r="E25" s="2095"/>
      <c r="F25" s="2156" t="s">
        <v>82</v>
      </c>
      <c r="G25" s="2157"/>
      <c r="H25" s="250">
        <f>H17+H9</f>
        <v>1021.8365292866195</v>
      </c>
      <c r="I25" s="407">
        <f>I17+I9</f>
        <v>17.846619999999998</v>
      </c>
      <c r="J25" s="408">
        <f t="shared" si="1"/>
        <v>2.5723000000000003</v>
      </c>
      <c r="K25" s="250">
        <f t="shared" si="0"/>
        <v>1002.823534359719</v>
      </c>
      <c r="L25" s="407">
        <f t="shared" si="0"/>
        <v>17.508952000000001</v>
      </c>
      <c r="M25" s="408">
        <f t="shared" si="0"/>
        <v>2.5624000000000002</v>
      </c>
      <c r="N25" s="250">
        <f t="shared" si="0"/>
        <v>992.6648321305654</v>
      </c>
      <c r="O25" s="407">
        <f t="shared" si="0"/>
        <v>17.329855999999999</v>
      </c>
      <c r="P25" s="408">
        <f t="shared" si="0"/>
        <v>2.5486</v>
      </c>
      <c r="Q25" s="250">
        <f t="shared" si="0"/>
        <v>989.10599925280326</v>
      </c>
      <c r="R25" s="407">
        <f t="shared" si="0"/>
        <v>17.2682</v>
      </c>
      <c r="S25" s="408">
        <f t="shared" si="0"/>
        <v>2.5350999999999999</v>
      </c>
      <c r="T25" s="250">
        <f t="shared" si="0"/>
        <v>993.75732532381755</v>
      </c>
      <c r="U25" s="407">
        <f t="shared" si="0"/>
        <v>17.355876000000002</v>
      </c>
      <c r="V25" s="408">
        <f t="shared" si="0"/>
        <v>2.5030000000000001</v>
      </c>
      <c r="W25" s="250">
        <f t="shared" si="0"/>
        <v>1018.0669588002527</v>
      </c>
      <c r="X25" s="407">
        <f t="shared" si="0"/>
        <v>17.784376000000002</v>
      </c>
      <c r="Y25" s="408">
        <f t="shared" si="0"/>
        <v>2.5378999999999996</v>
      </c>
      <c r="Z25" s="250">
        <f t="shared" si="0"/>
        <v>1068.7204632017344</v>
      </c>
      <c r="AA25" s="407">
        <f t="shared" si="0"/>
        <v>18.677672000000001</v>
      </c>
      <c r="AB25" s="408">
        <f t="shared" si="0"/>
        <v>2.6048</v>
      </c>
      <c r="AC25" s="250">
        <f t="shared" si="0"/>
        <v>1117.5720325379939</v>
      </c>
      <c r="AD25" s="407">
        <f>AD17+AD9</f>
        <v>19.545659999999998</v>
      </c>
      <c r="AE25" s="408">
        <f t="shared" si="0"/>
        <v>2.6196000000000002</v>
      </c>
      <c r="AF25" s="250">
        <f t="shared" si="0"/>
        <v>1108.0726887621038</v>
      </c>
      <c r="AG25" s="407">
        <f t="shared" si="0"/>
        <v>19.382240000000003</v>
      </c>
      <c r="AH25" s="408">
        <f t="shared" si="0"/>
        <v>2.5783</v>
      </c>
      <c r="AI25" s="250">
        <f t="shared" si="0"/>
        <v>1087.9241735564308</v>
      </c>
      <c r="AJ25" s="407">
        <f t="shared" si="0"/>
        <v>19.055260000000001</v>
      </c>
      <c r="AK25" s="408">
        <f t="shared" si="0"/>
        <v>2.3323</v>
      </c>
      <c r="AL25" s="250">
        <f t="shared" si="0"/>
        <v>1074.6110002694431</v>
      </c>
      <c r="AM25" s="407">
        <f t="shared" si="0"/>
        <v>18.833427999999998</v>
      </c>
      <c r="AN25" s="408">
        <f t="shared" si="0"/>
        <v>2.2093999999999996</v>
      </c>
      <c r="AO25" s="250">
        <f t="shared" si="0"/>
        <v>1066.3056307034487</v>
      </c>
      <c r="AP25" s="407">
        <f t="shared" si="0"/>
        <v>18.685212</v>
      </c>
      <c r="AQ25" s="408">
        <f t="shared" si="0"/>
        <v>2.2149000000000001</v>
      </c>
      <c r="AR25" s="284"/>
      <c r="AS25" s="393"/>
      <c r="AT25" s="400"/>
      <c r="AU25" s="400"/>
      <c r="AV25" s="231"/>
      <c r="AW25" s="231"/>
      <c r="AX25" s="231"/>
      <c r="AY25" s="231"/>
      <c r="AZ25" s="231"/>
      <c r="BA25" s="231"/>
      <c r="BB25" s="231"/>
      <c r="BC25" s="231"/>
      <c r="BD25" s="231"/>
      <c r="BE25" s="231"/>
      <c r="BF25" s="231"/>
      <c r="BG25" s="231"/>
      <c r="BH25" s="231"/>
      <c r="BI25" s="231"/>
      <c r="BJ25" s="231"/>
      <c r="BK25" s="231"/>
      <c r="BL25" s="231"/>
      <c r="BM25" s="231"/>
      <c r="BN25" s="231"/>
      <c r="BO25" s="231"/>
      <c r="BP25" s="231"/>
      <c r="BQ25" s="231"/>
    </row>
    <row r="26" spans="1:81" s="230" customFormat="1" ht="16.5" customHeight="1" x14ac:dyDescent="0.25">
      <c r="A26" s="254" t="s">
        <v>87</v>
      </c>
      <c r="B26" s="255">
        <v>0</v>
      </c>
      <c r="C26" s="256"/>
      <c r="D26" s="254" t="s">
        <v>88</v>
      </c>
      <c r="E26" s="2168">
        <v>0</v>
      </c>
      <c r="F26" s="2168"/>
      <c r="G26" s="409"/>
      <c r="H26" s="231"/>
      <c r="I26" s="410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1"/>
      <c r="AM26" s="231"/>
      <c r="AN26" s="231"/>
      <c r="AO26" s="231"/>
      <c r="AP26" s="231"/>
      <c r="AQ26" s="257"/>
      <c r="AR26" s="284"/>
      <c r="AS26" s="231"/>
      <c r="AT26" s="231"/>
      <c r="AU26" s="231"/>
      <c r="AV26" s="231"/>
      <c r="AW26" s="231"/>
      <c r="AX26" s="231"/>
      <c r="AY26" s="231"/>
      <c r="AZ26" s="231"/>
      <c r="BA26" s="231"/>
      <c r="BB26" s="231"/>
      <c r="BC26" s="231"/>
      <c r="BD26" s="231"/>
      <c r="BE26" s="231"/>
      <c r="BF26" s="231"/>
      <c r="BG26" s="231"/>
      <c r="BH26" s="231"/>
      <c r="BI26" s="231"/>
      <c r="BJ26" s="231"/>
      <c r="BK26" s="231"/>
      <c r="BL26" s="231"/>
      <c r="BM26" s="231"/>
      <c r="BN26" s="231"/>
      <c r="BO26" s="231"/>
      <c r="BP26" s="231"/>
      <c r="BQ26" s="231"/>
    </row>
    <row r="27" spans="1:81" s="230" customFormat="1" ht="16.5" customHeight="1" x14ac:dyDescent="0.25">
      <c r="A27" s="358" t="s">
        <v>37</v>
      </c>
      <c r="B27" s="411">
        <f>(I24+L24+O24+R24+U24+X24+AA24+AD24+AG24+AJ24+AM24+AP24+I94+L94+O94+R94+U94+X94+AA94+AD94+AG94+AJ94+AM94+AP94)/SQRT((I24+L24+O24+R24+U24+X24+AA24+AD24+AG24+AJ24+AM24+AP24+I94+L94+O94+R94+U94+X94+AA94+AD94+AG94+AJ94+AM94+AP94)^2+(J24+M24+P24+S24+V24+Y24+AB24+AE24+AH24+AK24+AN24+J94+M94+P94+S94+V94+Y94+AB94+AE94+AH94+AK94+AN94+AQ94+AQ24)^2)</f>
        <v>0.98744206324244244</v>
      </c>
      <c r="C27" s="412"/>
      <c r="D27" s="358" t="s">
        <v>38</v>
      </c>
      <c r="E27" s="2135">
        <f>(J24+M24+P24+S24+V24+Y24+AB24+AE24+AH24+AK24+AN24+J94+M94+P94+S94+V94+Y94+AB94+AE94+AH94+AK94+AN94+AQ94+AQ24)/(I24+L24+O24+R24+U24+X24+AA24+AD24+AG24+AJ24+AM24+AP24+I94+L94+O94+R94+U94+X94+AA94+AD94+AG94+AJ94+AM94+AP94)</f>
        <v>0.15999070825714301</v>
      </c>
      <c r="F27" s="2135"/>
      <c r="G27" s="257"/>
      <c r="H27" s="231"/>
      <c r="I27" s="410"/>
      <c r="J27" s="393"/>
      <c r="K27" s="393"/>
      <c r="L27" s="393"/>
      <c r="M27" s="393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  <c r="AE27" s="231"/>
      <c r="AF27" s="231"/>
      <c r="AG27" s="231"/>
      <c r="AH27" s="231"/>
      <c r="AI27" s="231"/>
      <c r="AJ27" s="231"/>
      <c r="AK27" s="231"/>
      <c r="AL27" s="231"/>
      <c r="AM27" s="231"/>
      <c r="AN27" s="231"/>
      <c r="AO27" s="231"/>
      <c r="AP27" s="231"/>
      <c r="AQ27" s="257"/>
      <c r="AS27" s="231"/>
      <c r="AT27" s="231"/>
      <c r="AU27" s="231"/>
      <c r="AV27" s="231"/>
      <c r="AW27" s="231"/>
      <c r="AX27" s="231"/>
      <c r="AY27" s="231"/>
      <c r="AZ27" s="231"/>
      <c r="BA27" s="231"/>
      <c r="BB27" s="231"/>
      <c r="BC27" s="231"/>
      <c r="BD27" s="231"/>
      <c r="BE27" s="231"/>
      <c r="BF27" s="231"/>
      <c r="BG27" s="231"/>
      <c r="BH27" s="231"/>
      <c r="BI27" s="231"/>
      <c r="BJ27" s="231"/>
      <c r="BK27" s="231"/>
      <c r="BL27" s="231"/>
      <c r="BM27" s="231"/>
      <c r="BN27" s="231"/>
      <c r="BO27" s="231"/>
      <c r="BP27" s="231"/>
      <c r="BQ27" s="231"/>
    </row>
    <row r="28" spans="1:81" s="230" customFormat="1" ht="16.5" customHeight="1" thickBot="1" x14ac:dyDescent="0.3">
      <c r="A28" s="258" t="s">
        <v>47</v>
      </c>
      <c r="B28" s="259">
        <f>(I25+L25+O25+R25+U25+X25+AA25+AD25+AG25+AJ25+AM25+AP25+I95+L95+O95+R95+U95+X95+AA95+AD95+AG95+AJ95+AM95+AP95)/SQRT((I25+L25+O25+R25+U25+X25+AA25+AD25+AG25+AJ25+AM25+AP25+I95+L95+O95+R95+U95+X95+AA95+AD95+AG95+AJ95+AM95+AP95)^2+(J25+M25+P25+S25+V25+Y25+AB25+AE25+AH25+AK25+AN25+J95+M95+P95+S95+V95+Y95+AB95+AE95+AH95+AK95+AN95+AQ95+AQ25)^2)</f>
        <v>0.99128872155389491</v>
      </c>
      <c r="C28" s="260"/>
      <c r="D28" s="258" t="s">
        <v>48</v>
      </c>
      <c r="E28" s="2103">
        <f>(J25+M25+P25+S25+V25+Y25+AB25+AE25+AH25+AK25+AN25+J95+M95+P95+S95+V95+Y95+AB95+AE95+AH95+AK95+AN95+AQ95+AQ25)/(I25+L25+O25+R25+U25+X25+AA25+AD25+AG25+AJ25+AM25+AP25+I95+L95+O95+R95+U95+X95+AA95+AD95+AG95+AJ95+AM95+AP95)</f>
        <v>0.13286417642003023</v>
      </c>
      <c r="F28" s="2103"/>
      <c r="G28" s="262"/>
      <c r="H28" s="263"/>
      <c r="I28" s="263"/>
      <c r="J28" s="263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263"/>
      <c r="AA28" s="263"/>
      <c r="AB28" s="263"/>
      <c r="AC28" s="263"/>
      <c r="AD28" s="263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2"/>
      <c r="AR28" s="284"/>
      <c r="AS28" s="393"/>
      <c r="AT28" s="393"/>
      <c r="AU28" s="393"/>
      <c r="AV28" s="231"/>
      <c r="AW28" s="231"/>
      <c r="AX28" s="231"/>
      <c r="AY28" s="231"/>
      <c r="AZ28" s="231"/>
      <c r="BA28" s="231"/>
      <c r="BB28" s="231"/>
      <c r="BC28" s="231"/>
      <c r="BD28" s="231"/>
      <c r="BE28" s="231"/>
      <c r="BF28" s="231"/>
      <c r="BG28" s="231"/>
      <c r="BH28" s="231"/>
      <c r="BI28" s="231"/>
      <c r="BJ28" s="231"/>
      <c r="BK28" s="231"/>
      <c r="BL28" s="231"/>
      <c r="BM28" s="231"/>
      <c r="BN28" s="231"/>
      <c r="BO28" s="231"/>
      <c r="BP28" s="231"/>
      <c r="BQ28" s="231"/>
    </row>
    <row r="29" spans="1:81" s="230" customFormat="1" ht="16.5" customHeight="1" thickBot="1" x14ac:dyDescent="0.3">
      <c r="A29" s="264"/>
      <c r="B29" s="265"/>
      <c r="C29" s="265"/>
      <c r="D29" s="266"/>
      <c r="E29" s="267"/>
      <c r="F29" s="266"/>
      <c r="G29" s="267"/>
      <c r="H29" s="268"/>
      <c r="I29" s="266"/>
      <c r="J29" s="266"/>
      <c r="K29" s="268"/>
      <c r="L29" s="266"/>
      <c r="M29" s="266"/>
      <c r="N29" s="268"/>
      <c r="O29" s="266"/>
      <c r="P29" s="266"/>
      <c r="Q29" s="268"/>
      <c r="R29" s="266"/>
      <c r="S29" s="266"/>
      <c r="T29" s="268"/>
      <c r="U29" s="266"/>
      <c r="V29" s="266"/>
      <c r="W29" s="268"/>
      <c r="X29" s="266"/>
      <c r="Y29" s="266"/>
      <c r="Z29" s="268"/>
      <c r="AA29" s="266"/>
      <c r="AB29" s="266"/>
      <c r="AC29" s="268"/>
      <c r="AD29" s="266"/>
      <c r="AE29" s="266"/>
      <c r="AF29" s="268"/>
      <c r="AG29" s="266"/>
      <c r="AH29" s="266"/>
      <c r="AI29" s="268"/>
      <c r="AJ29" s="266"/>
      <c r="AK29" s="266"/>
      <c r="AL29" s="268"/>
      <c r="AM29" s="266"/>
      <c r="AN29" s="266"/>
      <c r="AO29" s="268"/>
      <c r="AP29" s="266"/>
      <c r="AQ29" s="266"/>
      <c r="AR29" s="284"/>
      <c r="AS29" s="393"/>
      <c r="AT29" s="393"/>
      <c r="AU29" s="393"/>
      <c r="AV29" s="231"/>
      <c r="AW29" s="231"/>
      <c r="AX29" s="231"/>
      <c r="AY29" s="231"/>
      <c r="AZ29" s="231"/>
      <c r="BA29" s="231"/>
      <c r="BB29" s="231"/>
      <c r="BC29" s="231"/>
      <c r="BD29" s="231"/>
      <c r="BE29" s="231"/>
      <c r="BF29" s="231"/>
      <c r="BG29" s="231"/>
      <c r="BH29" s="231"/>
      <c r="BI29" s="231"/>
      <c r="BJ29" s="231"/>
      <c r="BK29" s="231"/>
      <c r="BL29" s="231"/>
      <c r="BM29" s="231"/>
      <c r="BN29" s="231"/>
      <c r="BO29" s="231"/>
      <c r="BP29" s="231"/>
      <c r="BQ29" s="231"/>
    </row>
    <row r="30" spans="1:81" s="230" customFormat="1" ht="16.5" customHeight="1" x14ac:dyDescent="0.25">
      <c r="A30" s="2104" t="s">
        <v>40</v>
      </c>
      <c r="B30" s="2105"/>
      <c r="C30" s="2105"/>
      <c r="D30" s="2106" t="s">
        <v>5</v>
      </c>
      <c r="E30" s="2107"/>
      <c r="F30" s="2107" t="s">
        <v>6</v>
      </c>
      <c r="G30" s="2108"/>
      <c r="H30" s="2096" t="s">
        <v>67</v>
      </c>
      <c r="I30" s="2097"/>
      <c r="J30" s="2098"/>
      <c r="K30" s="2096" t="s">
        <v>68</v>
      </c>
      <c r="L30" s="2097"/>
      <c r="M30" s="2098"/>
      <c r="N30" s="2096" t="s">
        <v>69</v>
      </c>
      <c r="O30" s="2097"/>
      <c r="P30" s="2098"/>
      <c r="Q30" s="2096" t="s">
        <v>70</v>
      </c>
      <c r="R30" s="2097"/>
      <c r="S30" s="2098"/>
      <c r="T30" s="2096" t="s">
        <v>71</v>
      </c>
      <c r="U30" s="2097"/>
      <c r="V30" s="2098"/>
      <c r="W30" s="2096" t="s">
        <v>72</v>
      </c>
      <c r="X30" s="2097"/>
      <c r="Y30" s="2098"/>
      <c r="Z30" s="2096" t="s">
        <v>73</v>
      </c>
      <c r="AA30" s="2097"/>
      <c r="AB30" s="2098"/>
      <c r="AC30" s="2096" t="s">
        <v>74</v>
      </c>
      <c r="AD30" s="2097"/>
      <c r="AE30" s="2098"/>
      <c r="AF30" s="2096" t="s">
        <v>75</v>
      </c>
      <c r="AG30" s="2097"/>
      <c r="AH30" s="2098"/>
      <c r="AI30" s="2096" t="s">
        <v>76</v>
      </c>
      <c r="AJ30" s="2097"/>
      <c r="AK30" s="2098"/>
      <c r="AL30" s="2096" t="s">
        <v>77</v>
      </c>
      <c r="AM30" s="2097"/>
      <c r="AN30" s="2098"/>
      <c r="AO30" s="2096" t="s">
        <v>78</v>
      </c>
      <c r="AP30" s="2097"/>
      <c r="AQ30" s="2098"/>
      <c r="AR30" s="284"/>
      <c r="AS30" s="393"/>
      <c r="AT30" s="393"/>
      <c r="AU30" s="393"/>
      <c r="AV30" s="231"/>
      <c r="AW30" s="231"/>
      <c r="AX30" s="231"/>
      <c r="AY30" s="231"/>
      <c r="AZ30" s="231"/>
      <c r="BA30" s="231"/>
      <c r="BB30" s="231"/>
      <c r="BC30" s="231"/>
      <c r="BD30" s="231"/>
      <c r="BE30" s="231"/>
      <c r="BF30" s="231"/>
      <c r="BG30" s="231"/>
      <c r="BH30" s="231"/>
      <c r="BI30" s="231"/>
      <c r="BJ30" s="231"/>
      <c r="BK30" s="231"/>
      <c r="BL30" s="231"/>
      <c r="BM30" s="231"/>
      <c r="BN30" s="231"/>
      <c r="BO30" s="231"/>
      <c r="BP30" s="231"/>
      <c r="BQ30" s="231"/>
    </row>
    <row r="31" spans="1:81" s="230" customFormat="1" ht="16.5" customHeight="1" thickBot="1" x14ac:dyDescent="0.3">
      <c r="A31" s="2109" t="s">
        <v>123</v>
      </c>
      <c r="B31" s="2110"/>
      <c r="C31" s="2110"/>
      <c r="D31" s="413" t="s">
        <v>7</v>
      </c>
      <c r="E31" s="414" t="s">
        <v>8</v>
      </c>
      <c r="F31" s="415" t="s">
        <v>7</v>
      </c>
      <c r="G31" s="416" t="s">
        <v>8</v>
      </c>
      <c r="H31" s="2165"/>
      <c r="I31" s="2166"/>
      <c r="J31" s="2167"/>
      <c r="K31" s="2165"/>
      <c r="L31" s="2166"/>
      <c r="M31" s="2167"/>
      <c r="N31" s="2165"/>
      <c r="O31" s="2166"/>
      <c r="P31" s="2167"/>
      <c r="Q31" s="2165"/>
      <c r="R31" s="2166"/>
      <c r="S31" s="2167"/>
      <c r="T31" s="2165"/>
      <c r="U31" s="2166"/>
      <c r="V31" s="2167"/>
      <c r="W31" s="2165"/>
      <c r="X31" s="2166"/>
      <c r="Y31" s="2167"/>
      <c r="Z31" s="2165"/>
      <c r="AA31" s="2166"/>
      <c r="AB31" s="2167"/>
      <c r="AC31" s="2165"/>
      <c r="AD31" s="2166"/>
      <c r="AE31" s="2167"/>
      <c r="AF31" s="2165"/>
      <c r="AG31" s="2166"/>
      <c r="AH31" s="2167"/>
      <c r="AI31" s="2165"/>
      <c r="AJ31" s="2166"/>
      <c r="AK31" s="2167"/>
      <c r="AL31" s="2165"/>
      <c r="AM31" s="2166"/>
      <c r="AN31" s="2167"/>
      <c r="AO31" s="2165"/>
      <c r="AP31" s="2166"/>
      <c r="AQ31" s="2167"/>
      <c r="AR31" s="417"/>
      <c r="AS31" s="418"/>
      <c r="AT31" s="393"/>
      <c r="AU31" s="393"/>
      <c r="AV31" s="231"/>
      <c r="AW31" s="231"/>
      <c r="AX31" s="231"/>
      <c r="AY31" s="231"/>
      <c r="AZ31" s="231"/>
      <c r="BA31" s="231"/>
      <c r="BB31" s="231"/>
      <c r="BC31" s="231"/>
      <c r="BD31" s="231"/>
      <c r="BE31" s="231"/>
      <c r="BF31" s="231"/>
      <c r="BG31" s="231"/>
      <c r="BH31" s="231"/>
      <c r="BI31" s="231"/>
      <c r="BJ31" s="231"/>
      <c r="BK31" s="231"/>
      <c r="BL31" s="231"/>
      <c r="BM31" s="231"/>
      <c r="BN31" s="231"/>
      <c r="BO31" s="231"/>
      <c r="BP31" s="231"/>
      <c r="BQ31" s="231"/>
    </row>
    <row r="32" spans="1:81" s="230" customFormat="1" ht="16.5" customHeight="1" x14ac:dyDescent="0.25">
      <c r="A32" s="285" t="s">
        <v>124</v>
      </c>
      <c r="B32" s="286" t="s">
        <v>125</v>
      </c>
      <c r="C32" s="419"/>
      <c r="D32" s="420"/>
      <c r="E32" s="421"/>
      <c r="F32" s="422"/>
      <c r="G32" s="423"/>
      <c r="H32" s="281">
        <f>SQRT(I32^2+J32^2)*1000/(1.73*H20)</f>
        <v>12.437281424910891</v>
      </c>
      <c r="I32" s="282">
        <v>0.75600000000000001</v>
      </c>
      <c r="J32" s="283">
        <v>0.16869999999999999</v>
      </c>
      <c r="K32" s="281">
        <f>SQRT(L32^2+M32^2)*1000/(1.73*K20)</f>
        <v>13.046913405314481</v>
      </c>
      <c r="L32" s="282">
        <v>0.79135</v>
      </c>
      <c r="M32" s="283">
        <v>0.18445</v>
      </c>
      <c r="N32" s="281">
        <f>SQRT(O32^2+P32^2)*1000/(1.73*N20)</f>
        <v>13.084089958875158</v>
      </c>
      <c r="O32" s="282">
        <v>0.79484999999999995</v>
      </c>
      <c r="P32" s="283">
        <v>0.17954999999999999</v>
      </c>
      <c r="Q32" s="281">
        <f>SQRT(R32^2+S32^2)*1000/(1.73*Q20)</f>
        <v>12.595169384432259</v>
      </c>
      <c r="R32" s="282">
        <v>0.76544999999999996</v>
      </c>
      <c r="S32" s="283">
        <v>0.17150000000000001</v>
      </c>
      <c r="T32" s="281">
        <f>SQRT(U32^2+V32^2)*1000/(1.73*T20)</f>
        <v>13.115217079820184</v>
      </c>
      <c r="U32" s="282">
        <v>0.79659999999999997</v>
      </c>
      <c r="V32" s="283">
        <v>0.18060000000000001</v>
      </c>
      <c r="W32" s="281">
        <f>SQRT(X32^2+Y32^2)*1000/(1.73*W20)</f>
        <v>12.102679574469203</v>
      </c>
      <c r="X32" s="282">
        <v>0.73534999999999995</v>
      </c>
      <c r="Y32" s="283">
        <v>0.16555</v>
      </c>
      <c r="Z32" s="281">
        <f>SQRT(AA32^2+AB32^2)*1000/(1.73*Z20)</f>
        <v>13.732005125231915</v>
      </c>
      <c r="AA32" s="282">
        <v>0.83440000000000003</v>
      </c>
      <c r="AB32" s="283">
        <v>0.18759999999999999</v>
      </c>
      <c r="AC32" s="281">
        <f>SQRT(AD32^2+AE32^2)*1000/(1.73*AC20)</f>
        <v>13.591579842257234</v>
      </c>
      <c r="AD32" s="282">
        <v>0.82774999999999999</v>
      </c>
      <c r="AE32" s="283">
        <v>0.17710000000000001</v>
      </c>
      <c r="AF32" s="281">
        <f>SQRT(AG32^2+AH32^2)*1000/(1.73*AF20)</f>
        <v>13.946066446596847</v>
      </c>
      <c r="AG32" s="282">
        <v>0.8498</v>
      </c>
      <c r="AH32" s="283">
        <v>0.17954999999999999</v>
      </c>
      <c r="AI32" s="281">
        <f>SQRT(AJ32^2+AK32^2)*1000/(1.73*AI20)</f>
        <v>12.854960276581561</v>
      </c>
      <c r="AJ32" s="282">
        <v>0.78959999999999997</v>
      </c>
      <c r="AK32" s="283">
        <v>0.1323</v>
      </c>
      <c r="AL32" s="281">
        <f>SQRT(AM32^2+AN32^2)*1000/(1.73*AL20)</f>
        <v>11.954788045823564</v>
      </c>
      <c r="AM32" s="282">
        <v>0.73675000000000002</v>
      </c>
      <c r="AN32" s="283">
        <v>0.10745</v>
      </c>
      <c r="AO32" s="281">
        <f>SQRT(AP32^2+AQ32^2)*1000/(1.73*AO20)</f>
        <v>12.994919647799025</v>
      </c>
      <c r="AP32" s="282">
        <v>0.7994</v>
      </c>
      <c r="AQ32" s="283">
        <v>0.12634999999999999</v>
      </c>
      <c r="AR32" s="284"/>
      <c r="AS32" s="393"/>
      <c r="AT32" s="393"/>
      <c r="AU32" s="393"/>
      <c r="AV32" s="231"/>
      <c r="AW32" s="231"/>
      <c r="AX32" s="231"/>
      <c r="AY32" s="231"/>
      <c r="AZ32" s="231"/>
      <c r="BA32" s="231"/>
      <c r="BB32" s="231"/>
      <c r="BC32" s="231"/>
      <c r="BD32" s="231"/>
      <c r="BE32" s="231"/>
      <c r="BF32" s="231"/>
      <c r="BG32" s="231"/>
      <c r="BH32" s="231"/>
      <c r="BI32" s="231"/>
      <c r="BJ32" s="231"/>
      <c r="BK32" s="231"/>
      <c r="BL32" s="231"/>
      <c r="BM32" s="231"/>
      <c r="BN32" s="231"/>
      <c r="BO32" s="231"/>
      <c r="BP32" s="231"/>
      <c r="BQ32" s="231"/>
    </row>
    <row r="33" spans="1:69" s="230" customFormat="1" ht="16.5" customHeight="1" thickBot="1" x14ac:dyDescent="0.3">
      <c r="A33" s="285" t="s">
        <v>124</v>
      </c>
      <c r="B33" s="286" t="s">
        <v>126</v>
      </c>
      <c r="C33" s="419"/>
      <c r="D33" s="424"/>
      <c r="E33" s="316"/>
      <c r="F33" s="425"/>
      <c r="G33" s="426"/>
      <c r="H33" s="302">
        <f>SQRT(I33^2+J33^2)*1000/(1.73*H20)</f>
        <v>26.736441119898029</v>
      </c>
      <c r="I33" s="303">
        <v>1.64815</v>
      </c>
      <c r="J33" s="304">
        <v>0.23730000000000001</v>
      </c>
      <c r="K33" s="302">
        <f>SQRT(L33^2+M33^2)*1000/(1.73*K20)</f>
        <v>26.549678004431087</v>
      </c>
      <c r="L33" s="303">
        <v>1.6366000000000001</v>
      </c>
      <c r="M33" s="304">
        <v>0.2359</v>
      </c>
      <c r="N33" s="302">
        <f>SQRT(O33^2+P33^2)*1000/(1.73*N20)</f>
        <v>26.374838038830518</v>
      </c>
      <c r="O33" s="303">
        <v>1.62645</v>
      </c>
      <c r="P33" s="304">
        <v>0.22994999999999999</v>
      </c>
      <c r="Q33" s="302">
        <f>SQRT(R33^2+S33^2)*1000/(1.73*Q20)</f>
        <v>26.351884749251195</v>
      </c>
      <c r="R33" s="303">
        <v>1.6254</v>
      </c>
      <c r="S33" s="304">
        <v>0.22714999999999999</v>
      </c>
      <c r="T33" s="302">
        <f>SQRT(U33^2+V33^2)*1000/(1.73*T20)</f>
        <v>26.763631072247499</v>
      </c>
      <c r="U33" s="303">
        <v>1.6509499999999999</v>
      </c>
      <c r="V33" s="304">
        <v>0.2296</v>
      </c>
      <c r="W33" s="302">
        <f>SQRT(X33^2+Y33^2)*1000/(1.73*W20)</f>
        <v>27.40176133532734</v>
      </c>
      <c r="X33" s="303">
        <v>1.69015</v>
      </c>
      <c r="Y33" s="304">
        <v>0.23624999999999999</v>
      </c>
      <c r="Z33" s="302">
        <f>SQRT(AA33^2+AB33^2)*1000/(1.73*Z20)</f>
        <v>27.35910215864704</v>
      </c>
      <c r="AA33" s="303">
        <v>1.6880500000000001</v>
      </c>
      <c r="AB33" s="304">
        <v>0.23205000000000001</v>
      </c>
      <c r="AC33" s="302">
        <f>SQRT(AD33^2+AE33^2)*1000/(1.73*AC20)</f>
        <v>28.630062322144081</v>
      </c>
      <c r="AD33" s="303">
        <v>1.7675000000000001</v>
      </c>
      <c r="AE33" s="304">
        <v>0.23519999999999999</v>
      </c>
      <c r="AF33" s="302">
        <f>SQRT(AG33^2+AH33^2)*1000/(1.73*AF20)</f>
        <v>28.119483074130795</v>
      </c>
      <c r="AG33" s="303">
        <v>1.7363500000000001</v>
      </c>
      <c r="AH33" s="304">
        <v>0.22819999999999999</v>
      </c>
      <c r="AI33" s="302">
        <f>SQRT(AJ33^2+AK33^2)*1000/(1.73*AI20)</f>
        <v>27.875463453785184</v>
      </c>
      <c r="AJ33" s="303">
        <v>1.7205999999999999</v>
      </c>
      <c r="AK33" s="304">
        <v>0.23135</v>
      </c>
      <c r="AL33" s="302">
        <f>SQRT(AM33^2+AN33^2)*1000/(1.73*AL20)</f>
        <v>27.364669593406997</v>
      </c>
      <c r="AM33" s="303">
        <v>1.6883999999999999</v>
      </c>
      <c r="AN33" s="304">
        <v>0.23205000000000001</v>
      </c>
      <c r="AO33" s="302">
        <f>SQRT(AP33^2+AQ33^2)*1000/(1.73*AO20)</f>
        <v>27.018755245118552</v>
      </c>
      <c r="AP33" s="303">
        <v>1.6667000000000001</v>
      </c>
      <c r="AQ33" s="304">
        <v>0.23169999999999999</v>
      </c>
      <c r="AR33" s="284"/>
      <c r="AS33" s="393"/>
      <c r="AT33" s="231"/>
      <c r="AU33" s="231"/>
      <c r="AV33" s="231"/>
      <c r="AW33" s="231"/>
      <c r="AX33" s="231"/>
      <c r="AY33" s="231"/>
      <c r="AZ33" s="231"/>
      <c r="BA33" s="231"/>
      <c r="BB33" s="231"/>
      <c r="BC33" s="231"/>
      <c r="BD33" s="231"/>
      <c r="BE33" s="231"/>
      <c r="BF33" s="231"/>
      <c r="BG33" s="231"/>
      <c r="BH33" s="231"/>
      <c r="BI33" s="231"/>
      <c r="BJ33" s="231"/>
      <c r="BK33" s="231"/>
      <c r="BL33" s="231"/>
      <c r="BM33" s="231"/>
      <c r="BN33" s="231"/>
      <c r="BO33" s="231"/>
      <c r="BP33" s="231"/>
      <c r="BQ33" s="231"/>
    </row>
    <row r="34" spans="1:69" s="230" customFormat="1" ht="16.5" customHeight="1" x14ac:dyDescent="0.25">
      <c r="A34" s="2113" t="s">
        <v>127</v>
      </c>
      <c r="B34" s="2114"/>
      <c r="C34" s="2114"/>
      <c r="D34" s="2169"/>
      <c r="E34" s="2169"/>
      <c r="F34" s="2169"/>
      <c r="G34" s="2170"/>
      <c r="H34" s="281">
        <f>H32</f>
        <v>12.437281424910891</v>
      </c>
      <c r="I34" s="282">
        <f>I32</f>
        <v>0.75600000000000001</v>
      </c>
      <c r="J34" s="427">
        <f t="shared" ref="J34:AQ35" si="2">J32</f>
        <v>0.16869999999999999</v>
      </c>
      <c r="K34" s="281">
        <f>K32</f>
        <v>13.046913405314481</v>
      </c>
      <c r="L34" s="282">
        <f t="shared" si="2"/>
        <v>0.79135</v>
      </c>
      <c r="M34" s="427">
        <f t="shared" si="2"/>
        <v>0.18445</v>
      </c>
      <c r="N34" s="281">
        <f>N32</f>
        <v>13.084089958875158</v>
      </c>
      <c r="O34" s="282">
        <f t="shared" si="2"/>
        <v>0.79484999999999995</v>
      </c>
      <c r="P34" s="427">
        <f t="shared" si="2"/>
        <v>0.17954999999999999</v>
      </c>
      <c r="Q34" s="281">
        <f>Q32</f>
        <v>12.595169384432259</v>
      </c>
      <c r="R34" s="282">
        <f t="shared" si="2"/>
        <v>0.76544999999999996</v>
      </c>
      <c r="S34" s="427">
        <f t="shared" si="2"/>
        <v>0.17150000000000001</v>
      </c>
      <c r="T34" s="281">
        <f>T32</f>
        <v>13.115217079820184</v>
      </c>
      <c r="U34" s="282">
        <f t="shared" si="2"/>
        <v>0.79659999999999997</v>
      </c>
      <c r="V34" s="427">
        <f t="shared" si="2"/>
        <v>0.18060000000000001</v>
      </c>
      <c r="W34" s="281">
        <f>W32</f>
        <v>12.102679574469203</v>
      </c>
      <c r="X34" s="282">
        <f t="shared" si="2"/>
        <v>0.73534999999999995</v>
      </c>
      <c r="Y34" s="427">
        <f t="shared" si="2"/>
        <v>0.16555</v>
      </c>
      <c r="Z34" s="281">
        <f>Z32</f>
        <v>13.732005125231915</v>
      </c>
      <c r="AA34" s="282">
        <f t="shared" si="2"/>
        <v>0.83440000000000003</v>
      </c>
      <c r="AB34" s="427">
        <f t="shared" si="2"/>
        <v>0.18759999999999999</v>
      </c>
      <c r="AC34" s="281">
        <f>AC32</f>
        <v>13.591579842257234</v>
      </c>
      <c r="AD34" s="282">
        <f t="shared" si="2"/>
        <v>0.82774999999999999</v>
      </c>
      <c r="AE34" s="427">
        <f t="shared" si="2"/>
        <v>0.17710000000000001</v>
      </c>
      <c r="AF34" s="281">
        <f>AF32</f>
        <v>13.946066446596847</v>
      </c>
      <c r="AG34" s="282">
        <f t="shared" si="2"/>
        <v>0.8498</v>
      </c>
      <c r="AH34" s="427">
        <f t="shared" si="2"/>
        <v>0.17954999999999999</v>
      </c>
      <c r="AI34" s="281">
        <f>AI32</f>
        <v>12.854960276581561</v>
      </c>
      <c r="AJ34" s="282">
        <f t="shared" si="2"/>
        <v>0.78959999999999997</v>
      </c>
      <c r="AK34" s="427">
        <f t="shared" si="2"/>
        <v>0.1323</v>
      </c>
      <c r="AL34" s="281">
        <f>AL32</f>
        <v>11.954788045823564</v>
      </c>
      <c r="AM34" s="282">
        <f t="shared" si="2"/>
        <v>0.73675000000000002</v>
      </c>
      <c r="AN34" s="427">
        <f t="shared" si="2"/>
        <v>0.10745</v>
      </c>
      <c r="AO34" s="281">
        <f>AO32</f>
        <v>12.994919647799025</v>
      </c>
      <c r="AP34" s="282">
        <f t="shared" si="2"/>
        <v>0.7994</v>
      </c>
      <c r="AQ34" s="427">
        <f t="shared" si="2"/>
        <v>0.12634999999999999</v>
      </c>
      <c r="AR34" s="284"/>
      <c r="AS34" s="393"/>
      <c r="AT34" s="231"/>
      <c r="AU34" s="231"/>
      <c r="AV34" s="231"/>
      <c r="AW34" s="231"/>
      <c r="AX34" s="231"/>
      <c r="AY34" s="231"/>
      <c r="AZ34" s="231"/>
      <c r="BA34" s="231"/>
      <c r="BB34" s="231"/>
      <c r="BC34" s="231"/>
      <c r="BD34" s="231"/>
      <c r="BE34" s="231"/>
      <c r="BF34" s="231"/>
      <c r="BG34" s="231"/>
      <c r="BH34" s="231"/>
      <c r="BI34" s="231"/>
      <c r="BJ34" s="231"/>
      <c r="BK34" s="231"/>
      <c r="BL34" s="231"/>
      <c r="BM34" s="231"/>
      <c r="BN34" s="231"/>
      <c r="BO34" s="231"/>
      <c r="BP34" s="231"/>
      <c r="BQ34" s="231"/>
    </row>
    <row r="35" spans="1:69" s="230" customFormat="1" ht="16.5" customHeight="1" thickBot="1" x14ac:dyDescent="0.3">
      <c r="A35" s="2116" t="s">
        <v>128</v>
      </c>
      <c r="B35" s="2117"/>
      <c r="C35" s="2117"/>
      <c r="D35" s="2117"/>
      <c r="E35" s="2117"/>
      <c r="F35" s="2117"/>
      <c r="G35" s="2118"/>
      <c r="H35" s="302">
        <f>H33</f>
        <v>26.736441119898029</v>
      </c>
      <c r="I35" s="303">
        <f>I33</f>
        <v>1.64815</v>
      </c>
      <c r="J35" s="428">
        <f t="shared" si="2"/>
        <v>0.23730000000000001</v>
      </c>
      <c r="K35" s="302">
        <f>K33</f>
        <v>26.549678004431087</v>
      </c>
      <c r="L35" s="303">
        <f t="shared" si="2"/>
        <v>1.6366000000000001</v>
      </c>
      <c r="M35" s="428">
        <f t="shared" si="2"/>
        <v>0.2359</v>
      </c>
      <c r="N35" s="302">
        <f>N33</f>
        <v>26.374838038830518</v>
      </c>
      <c r="O35" s="303">
        <f t="shared" si="2"/>
        <v>1.62645</v>
      </c>
      <c r="P35" s="428">
        <f t="shared" si="2"/>
        <v>0.22994999999999999</v>
      </c>
      <c r="Q35" s="302">
        <f>Q33</f>
        <v>26.351884749251195</v>
      </c>
      <c r="R35" s="303">
        <f t="shared" si="2"/>
        <v>1.6254</v>
      </c>
      <c r="S35" s="428">
        <f t="shared" si="2"/>
        <v>0.22714999999999999</v>
      </c>
      <c r="T35" s="302">
        <f>T33</f>
        <v>26.763631072247499</v>
      </c>
      <c r="U35" s="303">
        <f t="shared" si="2"/>
        <v>1.6509499999999999</v>
      </c>
      <c r="V35" s="428">
        <f t="shared" si="2"/>
        <v>0.2296</v>
      </c>
      <c r="W35" s="302">
        <f>W33</f>
        <v>27.40176133532734</v>
      </c>
      <c r="X35" s="303">
        <f t="shared" si="2"/>
        <v>1.69015</v>
      </c>
      <c r="Y35" s="428">
        <f t="shared" si="2"/>
        <v>0.23624999999999999</v>
      </c>
      <c r="Z35" s="302">
        <f>Z33</f>
        <v>27.35910215864704</v>
      </c>
      <c r="AA35" s="303">
        <f t="shared" si="2"/>
        <v>1.6880500000000001</v>
      </c>
      <c r="AB35" s="428">
        <f t="shared" si="2"/>
        <v>0.23205000000000001</v>
      </c>
      <c r="AC35" s="302">
        <f>AC33</f>
        <v>28.630062322144081</v>
      </c>
      <c r="AD35" s="303">
        <f t="shared" si="2"/>
        <v>1.7675000000000001</v>
      </c>
      <c r="AE35" s="428">
        <f t="shared" si="2"/>
        <v>0.23519999999999999</v>
      </c>
      <c r="AF35" s="302">
        <f>AF33</f>
        <v>28.119483074130795</v>
      </c>
      <c r="AG35" s="303">
        <f t="shared" si="2"/>
        <v>1.7363500000000001</v>
      </c>
      <c r="AH35" s="428">
        <f t="shared" si="2"/>
        <v>0.22819999999999999</v>
      </c>
      <c r="AI35" s="302">
        <f>AI33</f>
        <v>27.875463453785184</v>
      </c>
      <c r="AJ35" s="303">
        <f t="shared" si="2"/>
        <v>1.7205999999999999</v>
      </c>
      <c r="AK35" s="428">
        <f t="shared" si="2"/>
        <v>0.23135</v>
      </c>
      <c r="AL35" s="302">
        <f>AL33</f>
        <v>27.364669593406997</v>
      </c>
      <c r="AM35" s="303">
        <f t="shared" si="2"/>
        <v>1.6883999999999999</v>
      </c>
      <c r="AN35" s="428">
        <f t="shared" si="2"/>
        <v>0.23205000000000001</v>
      </c>
      <c r="AO35" s="302">
        <f>AO33</f>
        <v>27.018755245118552</v>
      </c>
      <c r="AP35" s="303">
        <f t="shared" si="2"/>
        <v>1.6667000000000001</v>
      </c>
      <c r="AQ35" s="428">
        <f t="shared" si="2"/>
        <v>0.23169999999999999</v>
      </c>
      <c r="AR35" s="284"/>
      <c r="AS35" s="393"/>
      <c r="AT35" s="231"/>
      <c r="AU35" s="231"/>
      <c r="AV35" s="231"/>
      <c r="AW35" s="231"/>
      <c r="AX35" s="231"/>
      <c r="AY35" s="231"/>
      <c r="AZ35" s="231"/>
      <c r="BA35" s="231"/>
      <c r="BB35" s="231"/>
      <c r="BC35" s="231"/>
      <c r="BD35" s="231"/>
      <c r="BE35" s="231"/>
      <c r="BF35" s="231"/>
      <c r="BG35" s="231"/>
      <c r="BH35" s="231"/>
      <c r="BI35" s="231"/>
      <c r="BJ35" s="231"/>
      <c r="BK35" s="231"/>
      <c r="BL35" s="231"/>
      <c r="BM35" s="231"/>
      <c r="BN35" s="231"/>
      <c r="BO35" s="231"/>
      <c r="BP35" s="231"/>
      <c r="BQ35" s="231"/>
    </row>
    <row r="36" spans="1:69" s="230" customFormat="1" ht="16.5" customHeight="1" thickBot="1" x14ac:dyDescent="0.3">
      <c r="A36" s="2119" t="s">
        <v>129</v>
      </c>
      <c r="B36" s="2120"/>
      <c r="C36" s="2120"/>
      <c r="D36" s="2120"/>
      <c r="E36" s="2120"/>
      <c r="F36" s="2120"/>
      <c r="G36" s="2120"/>
      <c r="H36" s="323">
        <f t="shared" ref="H36:AQ36" si="3">H34+H35</f>
        <v>39.173722544808918</v>
      </c>
      <c r="I36" s="320">
        <f>I34+I35</f>
        <v>2.40415</v>
      </c>
      <c r="J36" s="321">
        <f t="shared" si="3"/>
        <v>0.40600000000000003</v>
      </c>
      <c r="K36" s="323">
        <f>K34+K35</f>
        <v>39.596591409745571</v>
      </c>
      <c r="L36" s="320">
        <f t="shared" si="3"/>
        <v>2.4279500000000001</v>
      </c>
      <c r="M36" s="321">
        <f t="shared" si="3"/>
        <v>0.42035</v>
      </c>
      <c r="N36" s="323">
        <f>N34+N35</f>
        <v>39.458927997705672</v>
      </c>
      <c r="O36" s="320">
        <f t="shared" si="3"/>
        <v>2.4213</v>
      </c>
      <c r="P36" s="429">
        <f t="shared" si="3"/>
        <v>0.40949999999999998</v>
      </c>
      <c r="Q36" s="323">
        <f>Q34+Q35</f>
        <v>38.947054133683451</v>
      </c>
      <c r="R36" s="320">
        <f t="shared" si="3"/>
        <v>2.3908499999999999</v>
      </c>
      <c r="S36" s="429">
        <f t="shared" si="3"/>
        <v>0.39865</v>
      </c>
      <c r="T36" s="323">
        <f>T34+T35</f>
        <v>39.878848152067683</v>
      </c>
      <c r="U36" s="320">
        <f t="shared" si="3"/>
        <v>2.4475499999999997</v>
      </c>
      <c r="V36" s="429">
        <f t="shared" si="3"/>
        <v>0.41020000000000001</v>
      </c>
      <c r="W36" s="323">
        <f>W34+W35</f>
        <v>39.504440909796543</v>
      </c>
      <c r="X36" s="320">
        <f t="shared" si="3"/>
        <v>2.4255</v>
      </c>
      <c r="Y36" s="429">
        <f t="shared" si="3"/>
        <v>0.40179999999999999</v>
      </c>
      <c r="Z36" s="323">
        <f>Z34+Z35</f>
        <v>41.091107283878955</v>
      </c>
      <c r="AA36" s="320">
        <f t="shared" si="3"/>
        <v>2.5224500000000001</v>
      </c>
      <c r="AB36" s="429">
        <f t="shared" si="3"/>
        <v>0.41964999999999997</v>
      </c>
      <c r="AC36" s="323">
        <f>AC34+AC35</f>
        <v>42.221642164401317</v>
      </c>
      <c r="AD36" s="320">
        <f t="shared" si="3"/>
        <v>2.5952500000000001</v>
      </c>
      <c r="AE36" s="429">
        <f t="shared" si="3"/>
        <v>0.4123</v>
      </c>
      <c r="AF36" s="323">
        <f>AF34+AF35</f>
        <v>42.065549520727643</v>
      </c>
      <c r="AG36" s="320">
        <f t="shared" si="3"/>
        <v>2.5861499999999999</v>
      </c>
      <c r="AH36" s="429">
        <f t="shared" si="3"/>
        <v>0.40774999999999995</v>
      </c>
      <c r="AI36" s="323">
        <f>AI34+AI35</f>
        <v>40.730423730366745</v>
      </c>
      <c r="AJ36" s="320">
        <f t="shared" si="3"/>
        <v>2.5101999999999998</v>
      </c>
      <c r="AK36" s="429">
        <f t="shared" si="3"/>
        <v>0.36365000000000003</v>
      </c>
      <c r="AL36" s="323">
        <f>AL34+AL35</f>
        <v>39.319457639230563</v>
      </c>
      <c r="AM36" s="320">
        <f t="shared" si="3"/>
        <v>2.4251499999999999</v>
      </c>
      <c r="AN36" s="429">
        <f t="shared" si="3"/>
        <v>0.33950000000000002</v>
      </c>
      <c r="AO36" s="323">
        <f>AO34+AO35</f>
        <v>40.013674892917578</v>
      </c>
      <c r="AP36" s="320">
        <f t="shared" si="3"/>
        <v>2.4661</v>
      </c>
      <c r="AQ36" s="429">
        <f t="shared" si="3"/>
        <v>0.35804999999999998</v>
      </c>
      <c r="AR36" s="284"/>
      <c r="AS36" s="393"/>
      <c r="AT36" s="231"/>
      <c r="AU36" s="231"/>
      <c r="AV36" s="231"/>
      <c r="AW36" s="231"/>
      <c r="AX36" s="231"/>
      <c r="AY36" s="231"/>
      <c r="AZ36" s="231"/>
      <c r="BA36" s="231"/>
      <c r="BB36" s="231"/>
      <c r="BC36" s="231"/>
      <c r="BD36" s="231"/>
      <c r="BE36" s="231"/>
      <c r="BF36" s="231"/>
      <c r="BG36" s="231"/>
      <c r="BH36" s="231"/>
      <c r="BI36" s="231"/>
      <c r="BJ36" s="231"/>
      <c r="BK36" s="231"/>
      <c r="BL36" s="231"/>
      <c r="BM36" s="231"/>
      <c r="BN36" s="231"/>
      <c r="BO36" s="231"/>
      <c r="BP36" s="231"/>
      <c r="BQ36" s="231"/>
    </row>
    <row r="37" spans="1:69" s="230" customFormat="1" ht="16.5" customHeight="1" thickBot="1" x14ac:dyDescent="0.3">
      <c r="A37" s="235"/>
      <c r="B37" s="430"/>
      <c r="C37" s="430"/>
      <c r="D37" s="431"/>
      <c r="E37" s="267"/>
      <c r="F37" s="431"/>
      <c r="G37" s="431"/>
      <c r="H37" s="432"/>
      <c r="I37" s="433"/>
      <c r="J37" s="433"/>
      <c r="K37" s="433"/>
      <c r="L37" s="433"/>
      <c r="M37" s="433"/>
      <c r="N37" s="432"/>
      <c r="O37" s="433"/>
      <c r="P37" s="433"/>
      <c r="Q37" s="432"/>
      <c r="R37" s="433"/>
      <c r="S37" s="433"/>
      <c r="T37" s="432"/>
      <c r="U37" s="433"/>
      <c r="V37" s="433"/>
      <c r="W37" s="432"/>
      <c r="X37" s="433"/>
      <c r="Y37" s="433"/>
      <c r="Z37" s="432"/>
      <c r="AA37" s="433"/>
      <c r="AB37" s="433"/>
      <c r="AC37" s="432"/>
      <c r="AD37" s="433"/>
      <c r="AE37" s="433"/>
      <c r="AF37" s="432"/>
      <c r="AG37" s="433"/>
      <c r="AH37" s="433"/>
      <c r="AI37" s="432"/>
      <c r="AJ37" s="433"/>
      <c r="AK37" s="433"/>
      <c r="AL37" s="432"/>
      <c r="AM37" s="433"/>
      <c r="AN37" s="433"/>
      <c r="AO37" s="432"/>
      <c r="AP37" s="433"/>
      <c r="AQ37" s="433"/>
      <c r="AR37" s="284"/>
      <c r="AS37" s="393"/>
      <c r="AT37" s="231"/>
      <c r="AU37" s="231"/>
      <c r="AV37" s="231"/>
      <c r="AW37" s="231"/>
      <c r="AX37" s="231"/>
      <c r="AY37" s="231"/>
      <c r="AZ37" s="231"/>
      <c r="BA37" s="231"/>
      <c r="BB37" s="231"/>
      <c r="BC37" s="231"/>
      <c r="BD37" s="231"/>
      <c r="BE37" s="231"/>
      <c r="BF37" s="231"/>
      <c r="BG37" s="231"/>
      <c r="BH37" s="231"/>
      <c r="BI37" s="231"/>
      <c r="BJ37" s="231"/>
      <c r="BK37" s="231"/>
      <c r="BL37" s="231"/>
      <c r="BM37" s="231"/>
      <c r="BN37" s="231"/>
      <c r="BO37" s="231"/>
      <c r="BP37" s="231"/>
      <c r="BQ37" s="231"/>
    </row>
    <row r="38" spans="1:69" s="230" customFormat="1" ht="16.5" customHeight="1" x14ac:dyDescent="0.25">
      <c r="A38" s="2104" t="s">
        <v>40</v>
      </c>
      <c r="B38" s="2105"/>
      <c r="C38" s="2105"/>
      <c r="D38" s="2106" t="s">
        <v>5</v>
      </c>
      <c r="E38" s="2107"/>
      <c r="F38" s="2107" t="s">
        <v>6</v>
      </c>
      <c r="G38" s="2108"/>
      <c r="H38" s="2096" t="s">
        <v>67</v>
      </c>
      <c r="I38" s="2097"/>
      <c r="J38" s="2098"/>
      <c r="K38" s="2096" t="s">
        <v>68</v>
      </c>
      <c r="L38" s="2097"/>
      <c r="M38" s="2098"/>
      <c r="N38" s="2096" t="s">
        <v>69</v>
      </c>
      <c r="O38" s="2097"/>
      <c r="P38" s="2098"/>
      <c r="Q38" s="2096" t="s">
        <v>70</v>
      </c>
      <c r="R38" s="2097"/>
      <c r="S38" s="2098"/>
      <c r="T38" s="2096" t="s">
        <v>71</v>
      </c>
      <c r="U38" s="2097"/>
      <c r="V38" s="2098"/>
      <c r="W38" s="2096" t="s">
        <v>72</v>
      </c>
      <c r="X38" s="2097"/>
      <c r="Y38" s="2098"/>
      <c r="Z38" s="2096" t="s">
        <v>73</v>
      </c>
      <c r="AA38" s="2097"/>
      <c r="AB38" s="2098"/>
      <c r="AC38" s="2096" t="s">
        <v>74</v>
      </c>
      <c r="AD38" s="2097"/>
      <c r="AE38" s="2098"/>
      <c r="AF38" s="2096" t="s">
        <v>75</v>
      </c>
      <c r="AG38" s="2097"/>
      <c r="AH38" s="2098"/>
      <c r="AI38" s="2096" t="s">
        <v>76</v>
      </c>
      <c r="AJ38" s="2097"/>
      <c r="AK38" s="2098"/>
      <c r="AL38" s="2096" t="s">
        <v>77</v>
      </c>
      <c r="AM38" s="2097"/>
      <c r="AN38" s="2098"/>
      <c r="AO38" s="2096" t="s">
        <v>78</v>
      </c>
      <c r="AP38" s="2097"/>
      <c r="AQ38" s="2098"/>
      <c r="AR38" s="284"/>
      <c r="AS38" s="393"/>
      <c r="AT38" s="231"/>
      <c r="AU38" s="231"/>
      <c r="AV38" s="231"/>
      <c r="AW38" s="231"/>
      <c r="AX38" s="231"/>
      <c r="AY38" s="231"/>
      <c r="AZ38" s="231"/>
      <c r="BA38" s="231"/>
      <c r="BB38" s="231"/>
      <c r="BC38" s="231"/>
      <c r="BD38" s="231"/>
      <c r="BE38" s="231"/>
      <c r="BF38" s="231"/>
      <c r="BG38" s="231"/>
      <c r="BH38" s="231"/>
      <c r="BI38" s="231"/>
      <c r="BJ38" s="231"/>
      <c r="BK38" s="231"/>
      <c r="BL38" s="231"/>
      <c r="BM38" s="231"/>
      <c r="BN38" s="231"/>
      <c r="BO38" s="231"/>
      <c r="BP38" s="231"/>
      <c r="BQ38" s="231"/>
    </row>
    <row r="39" spans="1:69" s="230" customFormat="1" ht="16.5" customHeight="1" thickBot="1" x14ac:dyDescent="0.3">
      <c r="A39" s="2109" t="s">
        <v>89</v>
      </c>
      <c r="B39" s="2110"/>
      <c r="C39" s="2110"/>
      <c r="D39" s="270" t="s">
        <v>7</v>
      </c>
      <c r="E39" s="271" t="s">
        <v>8</v>
      </c>
      <c r="F39" s="272" t="s">
        <v>7</v>
      </c>
      <c r="G39" s="273" t="s">
        <v>8</v>
      </c>
      <c r="H39" s="2165"/>
      <c r="I39" s="2166"/>
      <c r="J39" s="2167"/>
      <c r="K39" s="2165"/>
      <c r="L39" s="2166"/>
      <c r="M39" s="2167"/>
      <c r="N39" s="2165"/>
      <c r="O39" s="2166"/>
      <c r="P39" s="2167"/>
      <c r="Q39" s="2165"/>
      <c r="R39" s="2166"/>
      <c r="S39" s="2167"/>
      <c r="T39" s="2165"/>
      <c r="U39" s="2166"/>
      <c r="V39" s="2167"/>
      <c r="W39" s="2165"/>
      <c r="X39" s="2166"/>
      <c r="Y39" s="2167"/>
      <c r="Z39" s="2165"/>
      <c r="AA39" s="2166"/>
      <c r="AB39" s="2167"/>
      <c r="AC39" s="2165"/>
      <c r="AD39" s="2166"/>
      <c r="AE39" s="2167"/>
      <c r="AF39" s="2165"/>
      <c r="AG39" s="2166"/>
      <c r="AH39" s="2167"/>
      <c r="AI39" s="2165"/>
      <c r="AJ39" s="2166"/>
      <c r="AK39" s="2167"/>
      <c r="AL39" s="2165"/>
      <c r="AM39" s="2166"/>
      <c r="AN39" s="2167"/>
      <c r="AO39" s="2165"/>
      <c r="AP39" s="2166"/>
      <c r="AQ39" s="2167"/>
      <c r="AR39" s="284"/>
      <c r="AS39" s="393"/>
      <c r="AT39" s="231"/>
      <c r="AU39" s="231"/>
      <c r="AV39" s="231"/>
      <c r="AW39" s="231"/>
      <c r="AX39" s="231"/>
      <c r="AY39" s="231"/>
      <c r="AZ39" s="231"/>
      <c r="BA39" s="231"/>
      <c r="BB39" s="231"/>
      <c r="BC39" s="231"/>
      <c r="BD39" s="231"/>
      <c r="BE39" s="231"/>
      <c r="BF39" s="231"/>
      <c r="BG39" s="231"/>
      <c r="BH39" s="231"/>
      <c r="BI39" s="231"/>
      <c r="BJ39" s="231"/>
      <c r="BK39" s="231"/>
      <c r="BL39" s="231"/>
      <c r="BM39" s="231"/>
      <c r="BN39" s="231"/>
      <c r="BO39" s="231"/>
      <c r="BP39" s="231"/>
      <c r="BQ39" s="231"/>
    </row>
    <row r="40" spans="1:69" s="230" customFormat="1" ht="16.5" customHeight="1" x14ac:dyDescent="0.25">
      <c r="A40" s="274" t="s">
        <v>130</v>
      </c>
      <c r="B40" s="275" t="s">
        <v>131</v>
      </c>
      <c r="C40" s="276"/>
      <c r="D40" s="277"/>
      <c r="E40" s="278"/>
      <c r="F40" s="279"/>
      <c r="G40" s="280"/>
      <c r="H40" s="434">
        <f>SQRT(I40^2+J40^2)*1000/(1.73*H21)</f>
        <v>127.53209130170994</v>
      </c>
      <c r="I40" s="435">
        <v>2.2263999999999999</v>
      </c>
      <c r="J40" s="436">
        <v>0.32800000000000001</v>
      </c>
      <c r="K40" s="434">
        <f>SQRT(L40^2+M40^2)*1000/(1.73*K21)</f>
        <v>124.29479136231765</v>
      </c>
      <c r="L40" s="435">
        <v>2.1696</v>
      </c>
      <c r="M40" s="436">
        <v>0.3216</v>
      </c>
      <c r="N40" s="434">
        <f>SQRT(O40^2+P40^2)*1000/(1.73*N21)</f>
        <v>121.53280263247167</v>
      </c>
      <c r="O40" s="435">
        <v>2.1208</v>
      </c>
      <c r="P40" s="436">
        <v>0.31840000000000002</v>
      </c>
      <c r="Q40" s="434">
        <f>SQRT(R40^2+S40^2)*1000/(1.73*Q21)</f>
        <v>121.21494951487784</v>
      </c>
      <c r="R40" s="435">
        <v>2.1143999999999998</v>
      </c>
      <c r="S40" s="436">
        <v>0.32319999999999999</v>
      </c>
      <c r="T40" s="434">
        <f>SQRT(U40^2+V40^2)*1000/(1.73*T21)</f>
        <v>121.03290556738055</v>
      </c>
      <c r="U40" s="435">
        <v>2.1120000000000001</v>
      </c>
      <c r="V40" s="436">
        <v>0.31759999999999999</v>
      </c>
      <c r="W40" s="434">
        <f>SQRT(X40^2+Y40^2)*1000/(1.73*W21)</f>
        <v>126.36462653368639</v>
      </c>
      <c r="X40" s="435">
        <v>2.2063999999999999</v>
      </c>
      <c r="Y40" s="436">
        <v>0.32240000000000002</v>
      </c>
      <c r="Z40" s="434">
        <f>SQRT(AA40^2+AB40^2)*1000/(1.73*Z21)</f>
        <v>133.6666938507723</v>
      </c>
      <c r="AA40" s="435">
        <v>2.3351999999999999</v>
      </c>
      <c r="AB40" s="436">
        <v>0.33200000000000002</v>
      </c>
      <c r="AC40" s="434">
        <f>SQRT(AD40^2+AE40^2)*1000/(1.73*AC21)</f>
        <v>141.21744034115162</v>
      </c>
      <c r="AD40" s="435">
        <v>2.4695999999999998</v>
      </c>
      <c r="AE40" s="436">
        <v>0.33279999999999998</v>
      </c>
      <c r="AF40" s="434">
        <f>SQRT(AG40^2+AH40^2)*1000/(1.73*AF21)</f>
        <v>148.13882749268456</v>
      </c>
      <c r="AG40" s="435">
        <v>2.5935999999999999</v>
      </c>
      <c r="AH40" s="436">
        <v>0.32640000000000002</v>
      </c>
      <c r="AI40" s="434">
        <f>SQRT(AJ40^2+AK40^2)*1000/(1.73*AI21)</f>
        <v>147.68110000239153</v>
      </c>
      <c r="AJ40" s="435">
        <v>2.5880000000000001</v>
      </c>
      <c r="AK40" s="436">
        <v>0.30559999999999998</v>
      </c>
      <c r="AL40" s="434">
        <f>SQRT(AM40^2+AN40^2)*1000/(1.73*AL21)</f>
        <v>145.56486190958802</v>
      </c>
      <c r="AM40" s="435">
        <v>2.5528</v>
      </c>
      <c r="AN40" s="436">
        <v>0.2848</v>
      </c>
      <c r="AO40" s="434">
        <f>SQRT(AP40^2+AQ40^2)*1000/(1.73*AO21)</f>
        <v>144.71388291154054</v>
      </c>
      <c r="AP40" s="435">
        <v>2.5375999999999999</v>
      </c>
      <c r="AQ40" s="436">
        <v>0.28560000000000002</v>
      </c>
      <c r="AR40" s="284"/>
      <c r="AS40" s="393"/>
      <c r="AT40" s="231"/>
      <c r="AU40" s="231"/>
      <c r="AV40" s="231"/>
      <c r="AW40" s="231"/>
      <c r="AX40" s="231"/>
      <c r="AY40" s="231"/>
      <c r="AZ40" s="231"/>
      <c r="BA40" s="231"/>
      <c r="BB40" s="231"/>
      <c r="BC40" s="231"/>
      <c r="BD40" s="231"/>
      <c r="BE40" s="231"/>
      <c r="BF40" s="231"/>
      <c r="BG40" s="231"/>
      <c r="BH40" s="231"/>
      <c r="BI40" s="231"/>
      <c r="BJ40" s="231"/>
      <c r="BK40" s="231"/>
      <c r="BL40" s="231"/>
      <c r="BM40" s="231"/>
      <c r="BN40" s="231"/>
      <c r="BO40" s="231"/>
      <c r="BP40" s="231"/>
      <c r="BQ40" s="231"/>
    </row>
    <row r="41" spans="1:69" s="230" customFormat="1" ht="16.5" customHeight="1" x14ac:dyDescent="0.25">
      <c r="A41" s="285" t="s">
        <v>132</v>
      </c>
      <c r="B41" s="286" t="s">
        <v>133</v>
      </c>
      <c r="C41" s="287"/>
      <c r="D41" s="288"/>
      <c r="E41" s="289"/>
      <c r="F41" s="290"/>
      <c r="G41" s="291"/>
      <c r="H41" s="434">
        <f>SQRT(I41^2+J41^2)*1000/(1.73*H21)</f>
        <v>126.73537863170235</v>
      </c>
      <c r="I41" s="437">
        <v>2.2223999999999999</v>
      </c>
      <c r="J41" s="438">
        <v>0.24959999999999999</v>
      </c>
      <c r="K41" s="434">
        <f>SQRT(L41^2+M41^2)*1000/(1.73*K21)</f>
        <v>123.33496603518478</v>
      </c>
      <c r="L41" s="437">
        <v>2.1617999999999999</v>
      </c>
      <c r="M41" s="438">
        <v>0.25140000000000001</v>
      </c>
      <c r="N41" s="434">
        <f>SQRT(O41^2+P41^2)*1000/(1.73*N21)</f>
        <v>123.23951610876669</v>
      </c>
      <c r="O41" s="437">
        <v>2.1612</v>
      </c>
      <c r="P41" s="438">
        <v>0.24179999999999999</v>
      </c>
      <c r="Q41" s="434">
        <f>SQRT(R41^2+S41^2)*1000/(1.73*Q21)</f>
        <v>121.77897007578078</v>
      </c>
      <c r="R41" s="437">
        <v>2.1354000000000002</v>
      </c>
      <c r="S41" s="438">
        <v>0.24060000000000001</v>
      </c>
      <c r="T41" s="434">
        <f>SQRT(U41^2+V41^2)*1000/(1.73*T21)</f>
        <v>122.0154907050766</v>
      </c>
      <c r="U41" s="437">
        <v>2.1396000000000002</v>
      </c>
      <c r="V41" s="438">
        <v>0.24060000000000001</v>
      </c>
      <c r="W41" s="434">
        <f>SQRT(X41^2+Y41^2)*1000/(1.73*W21)</f>
        <v>122.97678665651873</v>
      </c>
      <c r="X41" s="437">
        <v>2.1564000000000001</v>
      </c>
      <c r="Y41" s="438">
        <v>0.24299999999999999</v>
      </c>
      <c r="Z41" s="434">
        <f>SQRT(AA41^2+AB41^2)*1000/(1.73*Z21)</f>
        <v>127.02117330324232</v>
      </c>
      <c r="AA41" s="437">
        <v>2.2284000000000002</v>
      </c>
      <c r="AB41" s="438">
        <v>0.2412</v>
      </c>
      <c r="AC41" s="434">
        <f>SQRT(AD41^2+AE41^2)*1000/(1.73*AC21)</f>
        <v>130.38987947411732</v>
      </c>
      <c r="AD41" s="437">
        <v>2.2877999999999998</v>
      </c>
      <c r="AE41" s="438">
        <v>0.24479999999999999</v>
      </c>
      <c r="AF41" s="434">
        <f>SQRT(AG41^2+AH41^2)*1000/(1.73*AF21)</f>
        <v>126.20733321631141</v>
      </c>
      <c r="AG41" s="437">
        <v>2.2145999999999999</v>
      </c>
      <c r="AH41" s="438">
        <v>0.23519999999999999</v>
      </c>
      <c r="AI41" s="434">
        <f>SQRT(AJ41^2+AK41^2)*1000/(1.73*AI21)</f>
        <v>122.98826977922076</v>
      </c>
      <c r="AJ41" s="437">
        <v>2.1612</v>
      </c>
      <c r="AK41" s="438">
        <v>0.19800000000000001</v>
      </c>
      <c r="AL41" s="434">
        <f>SQRT(AM41^2+AN41^2)*1000/(1.73*AL21)</f>
        <v>121.17252801244754</v>
      </c>
      <c r="AM41" s="437">
        <v>2.13</v>
      </c>
      <c r="AN41" s="438">
        <v>0.18720000000000001</v>
      </c>
      <c r="AO41" s="434">
        <f>SQRT(AP41^2+AQ41^2)*1000/(1.73*AO21)</f>
        <v>121.21837940907628</v>
      </c>
      <c r="AP41" s="437">
        <v>2.1305999999999998</v>
      </c>
      <c r="AQ41" s="438">
        <v>0.18959999999999999</v>
      </c>
      <c r="AR41" s="284"/>
      <c r="AS41" s="393"/>
      <c r="AT41" s="231"/>
      <c r="AU41" s="231"/>
      <c r="AV41" s="231"/>
      <c r="AW41" s="231"/>
      <c r="AX41" s="231"/>
      <c r="AY41" s="231"/>
      <c r="AZ41" s="231"/>
      <c r="BA41" s="231"/>
      <c r="BB41" s="231"/>
      <c r="BC41" s="231"/>
      <c r="BD41" s="231"/>
      <c r="BE41" s="231"/>
      <c r="BF41" s="231"/>
      <c r="BG41" s="231"/>
      <c r="BH41" s="231"/>
      <c r="BI41" s="231"/>
      <c r="BJ41" s="231"/>
      <c r="BK41" s="231"/>
      <c r="BL41" s="231"/>
      <c r="BM41" s="231"/>
      <c r="BN41" s="231"/>
      <c r="BO41" s="231"/>
      <c r="BP41" s="231"/>
      <c r="BQ41" s="231"/>
    </row>
    <row r="42" spans="1:69" s="230" customFormat="1" ht="16.5" customHeight="1" x14ac:dyDescent="0.25">
      <c r="A42" s="285" t="s">
        <v>134</v>
      </c>
      <c r="B42" s="286" t="s">
        <v>135</v>
      </c>
      <c r="C42" s="287"/>
      <c r="D42" s="288"/>
      <c r="E42" s="289"/>
      <c r="F42" s="290"/>
      <c r="G42" s="291"/>
      <c r="H42" s="434">
        <f>SQRT(I42^2+J42^2)*1000/(1.73*H21)</f>
        <v>1.134562479004031</v>
      </c>
      <c r="I42" s="437">
        <v>1.61E-2</v>
      </c>
      <c r="J42" s="438">
        <v>1.1900000000000001E-2</v>
      </c>
      <c r="K42" s="434">
        <f>SQRT(L42^2+M42^2)*1000/(1.73*K21)</f>
        <v>1.1175360176759377</v>
      </c>
      <c r="L42" s="437">
        <v>1.5800000000000002E-2</v>
      </c>
      <c r="M42" s="438">
        <v>1.18E-2</v>
      </c>
      <c r="N42" s="434">
        <f>SQRT(O42^2+P42^2)*1000/(1.73*N21)</f>
        <v>1.1505558868200361</v>
      </c>
      <c r="O42" s="437">
        <v>1.6799999999999999E-2</v>
      </c>
      <c r="P42" s="438">
        <v>1.14E-2</v>
      </c>
      <c r="Q42" s="434">
        <f>SQRT(R42^2+S42^2)*1000/(1.73*Q21)</f>
        <v>1.1324517159728589</v>
      </c>
      <c r="R42" s="437">
        <v>1.6199999999999999E-2</v>
      </c>
      <c r="S42" s="438">
        <v>1.17E-2</v>
      </c>
      <c r="T42" s="434">
        <f>SQRT(U42^2+V42^2)*1000/(1.73*T21)</f>
        <v>1.1245403365757609</v>
      </c>
      <c r="U42" s="437">
        <v>1.61E-2</v>
      </c>
      <c r="V42" s="438">
        <v>1.1599999999999999E-2</v>
      </c>
      <c r="W42" s="434">
        <f>SQRT(X42^2+Y42^2)*1000/(1.73*W21)</f>
        <v>1.1166304258890418</v>
      </c>
      <c r="X42" s="437">
        <v>1.6E-2</v>
      </c>
      <c r="Y42" s="438">
        <v>1.15E-2</v>
      </c>
      <c r="Z42" s="434">
        <f>SQRT(AA42^2+AB42^2)*1000/(1.73*Z21)</f>
        <v>1.4996060464482144</v>
      </c>
      <c r="AA42" s="437">
        <v>2.18E-2</v>
      </c>
      <c r="AB42" s="438">
        <v>1.4999999999999999E-2</v>
      </c>
      <c r="AC42" s="434">
        <f>SQRT(AD42^2+AE42^2)*1000/(1.73*AC21)</f>
        <v>2.9152054057802523</v>
      </c>
      <c r="AD42" s="437">
        <v>4.5499999999999999E-2</v>
      </c>
      <c r="AE42" s="438">
        <v>2.4E-2</v>
      </c>
      <c r="AF42" s="434">
        <f>SQRT(AG42^2+AH42^2)*1000/(1.73*AF21)</f>
        <v>3.0590132552812714</v>
      </c>
      <c r="AG42" s="437">
        <v>4.8399999999999999E-2</v>
      </c>
      <c r="AH42" s="438">
        <v>2.3900000000000001E-2</v>
      </c>
      <c r="AI42" s="434">
        <f>SQRT(AJ42^2+AK42^2)*1000/(1.73*AI21)</f>
        <v>1.8939166870633966</v>
      </c>
      <c r="AJ42" s="437">
        <v>3.0300000000000001E-2</v>
      </c>
      <c r="AK42" s="438">
        <v>1.41E-2</v>
      </c>
      <c r="AL42" s="434">
        <f>SQRT(AM42^2+AN42^2)*1000/(1.73*AL21)</f>
        <v>1.8476614604080006</v>
      </c>
      <c r="AM42" s="437">
        <v>2.9899999999999999E-2</v>
      </c>
      <c r="AN42" s="438">
        <v>1.2999999999999999E-2</v>
      </c>
      <c r="AO42" s="434">
        <f>SQRT(AP42^2+AQ42^2)*1000/(1.73*AO21)</f>
        <v>1.6804371020947393</v>
      </c>
      <c r="AP42" s="437">
        <v>2.6700000000000002E-2</v>
      </c>
      <c r="AQ42" s="438">
        <v>1.29E-2</v>
      </c>
      <c r="AR42" s="284"/>
      <c r="AS42" s="393"/>
      <c r="AT42" s="231"/>
      <c r="AU42" s="231"/>
      <c r="AV42" s="231"/>
      <c r="AW42" s="231"/>
      <c r="AX42" s="231"/>
      <c r="AY42" s="231"/>
      <c r="AZ42" s="231"/>
      <c r="BA42" s="231"/>
      <c r="BB42" s="231"/>
      <c r="BC42" s="231"/>
      <c r="BD42" s="231"/>
      <c r="BE42" s="231"/>
      <c r="BF42" s="231"/>
      <c r="BG42" s="231"/>
      <c r="BH42" s="231"/>
      <c r="BI42" s="231"/>
      <c r="BJ42" s="231"/>
      <c r="BK42" s="231"/>
      <c r="BL42" s="231"/>
      <c r="BM42" s="231"/>
      <c r="BN42" s="231"/>
      <c r="BO42" s="231"/>
      <c r="BP42" s="231"/>
      <c r="BQ42" s="231"/>
    </row>
    <row r="43" spans="1:69" s="230" customFormat="1" ht="16.5" customHeight="1" x14ac:dyDescent="0.25">
      <c r="A43" s="285" t="s">
        <v>136</v>
      </c>
      <c r="B43" s="286" t="s">
        <v>137</v>
      </c>
      <c r="C43" s="287"/>
      <c r="D43" s="288"/>
      <c r="E43" s="289"/>
      <c r="F43" s="290"/>
      <c r="G43" s="291"/>
      <c r="H43" s="434">
        <f>SQRT(I43^2+J43^2)*1000/(1.73*H21)</f>
        <v>76.294856938221756</v>
      </c>
      <c r="I43" s="437">
        <v>1.3315999999999999</v>
      </c>
      <c r="J43" s="438">
        <v>0.19839999999999999</v>
      </c>
      <c r="K43" s="434">
        <f>SQRT(L43^2+M43^2)*1000/(1.73*K21)</f>
        <v>76.608758698488884</v>
      </c>
      <c r="L43" s="437">
        <v>1.3371999999999999</v>
      </c>
      <c r="M43" s="438">
        <v>0.19839999999999999</v>
      </c>
      <c r="N43" s="434">
        <f>SQRT(O43^2+P43^2)*1000/(1.73*N21)</f>
        <v>76.089731991989595</v>
      </c>
      <c r="O43" s="437">
        <v>1.3280000000000001</v>
      </c>
      <c r="P43" s="438">
        <v>0.19800000000000001</v>
      </c>
      <c r="Q43" s="434">
        <f>SQRT(R43^2+S43^2)*1000/(1.73*Q21)</f>
        <v>76.015057020733892</v>
      </c>
      <c r="R43" s="437">
        <v>1.3271999999999999</v>
      </c>
      <c r="S43" s="438">
        <v>0.19439999999999999</v>
      </c>
      <c r="T43" s="434">
        <f>SQRT(U43^2+V43^2)*1000/(1.73*T21)</f>
        <v>76.259123209227866</v>
      </c>
      <c r="U43" s="437">
        <v>1.3311999999999999</v>
      </c>
      <c r="V43" s="438">
        <v>0.1968</v>
      </c>
      <c r="W43" s="434">
        <f>SQRT(X43^2+Y43^2)*1000/(1.73*W21)</f>
        <v>78.659323391601419</v>
      </c>
      <c r="X43" s="437">
        <v>1.3740000000000001</v>
      </c>
      <c r="Y43" s="438">
        <v>0.1968</v>
      </c>
      <c r="Z43" s="434">
        <f>SQRT(AA43^2+AB43^2)*1000/(1.73*Z21)</f>
        <v>80.050611177315275</v>
      </c>
      <c r="AA43" s="437">
        <v>1.3984000000000001</v>
      </c>
      <c r="AB43" s="438">
        <v>0.1996</v>
      </c>
      <c r="AC43" s="434">
        <f>SQRT(AD43^2+AE43^2)*1000/(1.73*AC21)</f>
        <v>82.21774548604354</v>
      </c>
      <c r="AD43" s="437">
        <v>1.4359999999999999</v>
      </c>
      <c r="AE43" s="438">
        <v>0.20680000000000001</v>
      </c>
      <c r="AF43" s="434">
        <f>SQRT(AG43^2+AH43^2)*1000/(1.73*AF21)</f>
        <v>82.312174810380867</v>
      </c>
      <c r="AG43" s="437">
        <v>1.4356</v>
      </c>
      <c r="AH43" s="438">
        <v>0.2208</v>
      </c>
      <c r="AI43" s="434">
        <f>SQRT(AJ43^2+AK43^2)*1000/(1.73*AI21)</f>
        <v>80.958780575003644</v>
      </c>
      <c r="AJ43" s="437">
        <v>1.4152</v>
      </c>
      <c r="AK43" s="438">
        <v>0.19520000000000001</v>
      </c>
      <c r="AL43" s="434">
        <f>SQRT(AM43^2+AN43^2)*1000/(1.73*AL21)</f>
        <v>79.430331253458647</v>
      </c>
      <c r="AM43" s="437">
        <v>1.3919999999999999</v>
      </c>
      <c r="AN43" s="438">
        <v>0.16400000000000001</v>
      </c>
      <c r="AO43" s="434">
        <f>SQRT(AP43^2+AQ43^2)*1000/(1.73*AO21)</f>
        <v>75.166534114752793</v>
      </c>
      <c r="AP43" s="437">
        <v>1.3168</v>
      </c>
      <c r="AQ43" s="438">
        <v>0.15920000000000001</v>
      </c>
      <c r="AR43" s="284"/>
      <c r="AS43" s="393"/>
      <c r="AT43" s="231"/>
      <c r="AU43" s="231"/>
      <c r="AV43" s="231"/>
      <c r="AW43" s="231"/>
      <c r="AX43" s="231"/>
      <c r="AY43" s="231"/>
      <c r="AZ43" s="231"/>
      <c r="BA43" s="231"/>
      <c r="BB43" s="231"/>
      <c r="BC43" s="231"/>
      <c r="BD43" s="231"/>
      <c r="BE43" s="231"/>
      <c r="BF43" s="231"/>
      <c r="BG43" s="231"/>
      <c r="BH43" s="231"/>
      <c r="BI43" s="231"/>
      <c r="BJ43" s="231"/>
      <c r="BK43" s="231"/>
      <c r="BL43" s="231"/>
      <c r="BM43" s="231"/>
      <c r="BN43" s="231"/>
      <c r="BO43" s="231"/>
      <c r="BP43" s="231"/>
      <c r="BQ43" s="231"/>
    </row>
    <row r="44" spans="1:69" s="230" customFormat="1" ht="16.5" customHeight="1" x14ac:dyDescent="0.25">
      <c r="A44" s="285" t="s">
        <v>138</v>
      </c>
      <c r="B44" s="286" t="s">
        <v>139</v>
      </c>
      <c r="C44" s="287"/>
      <c r="D44" s="288"/>
      <c r="E44" s="289"/>
      <c r="F44" s="290"/>
      <c r="G44" s="291"/>
      <c r="H44" s="434">
        <f>SQRT(I44^2+J44^2)*1000/(1.73*H21)</f>
        <v>110.59060968240016</v>
      </c>
      <c r="I44" s="437">
        <v>1.9248000000000001</v>
      </c>
      <c r="J44" s="438">
        <v>0.3216</v>
      </c>
      <c r="K44" s="434">
        <f>SQRT(L44^2+M44^2)*1000/(1.73*K21)</f>
        <v>109.03853622221793</v>
      </c>
      <c r="L44" s="437">
        <v>1.8959999999999999</v>
      </c>
      <c r="M44" s="438">
        <v>0.3276</v>
      </c>
      <c r="N44" s="434">
        <f>SQRT(O44^2+P44^2)*1000/(1.73*N21)</f>
        <v>107.9704788956227</v>
      </c>
      <c r="O44" s="437">
        <v>1.8755999999999999</v>
      </c>
      <c r="P44" s="438">
        <v>0.33479999999999999</v>
      </c>
      <c r="Q44" s="434">
        <f>SQRT(R44^2+S44^2)*1000/(1.73*Q21)</f>
        <v>107.46607148866242</v>
      </c>
      <c r="R44" s="437">
        <v>1.8672</v>
      </c>
      <c r="S44" s="438">
        <v>0.33119999999999999</v>
      </c>
      <c r="T44" s="434">
        <f>SQRT(U44^2+V44^2)*1000/(1.73*T21)</f>
        <v>110.25525249493531</v>
      </c>
      <c r="U44" s="437">
        <v>1.9188000000000001</v>
      </c>
      <c r="V44" s="438">
        <v>0.3216</v>
      </c>
      <c r="W44" s="434">
        <f>SQRT(X44^2+Y44^2)*1000/(1.73*W21)</f>
        <v>110.52410083437802</v>
      </c>
      <c r="X44" s="437">
        <v>1.9248000000000001</v>
      </c>
      <c r="Y44" s="438">
        <v>0.31440000000000001</v>
      </c>
      <c r="Z44" s="434">
        <f>SQRT(AA44^2+AB44^2)*1000/(1.73*Z21)</f>
        <v>115.28847871383219</v>
      </c>
      <c r="AA44" s="437">
        <v>2.0087999999999999</v>
      </c>
      <c r="AB44" s="438">
        <v>0.3216</v>
      </c>
      <c r="AC44" s="434">
        <f>SQRT(AD44^2+AE44^2)*1000/(1.73*AC21)</f>
        <v>126.44780426762627</v>
      </c>
      <c r="AD44" s="437">
        <v>2.2080000000000002</v>
      </c>
      <c r="AE44" s="438">
        <v>0.3216</v>
      </c>
      <c r="AF44" s="434">
        <f>SQRT(AG44^2+AH44^2)*1000/(1.73*AF21)</f>
        <v>130.91126346259225</v>
      </c>
      <c r="AG44" s="437">
        <v>2.2884000000000002</v>
      </c>
      <c r="AH44" s="438">
        <v>0.31559999999999999</v>
      </c>
      <c r="AI44" s="434">
        <f>SQRT(AJ44^2+AK44^2)*1000/(1.73*AI21)</f>
        <v>133.35910502880017</v>
      </c>
      <c r="AJ44" s="437">
        <v>2.3328000000000002</v>
      </c>
      <c r="AK44" s="438">
        <v>0.30959999999999999</v>
      </c>
      <c r="AL44" s="434">
        <f>SQRT(AM44^2+AN44^2)*1000/(1.73*AL21)</f>
        <v>129.95608203232339</v>
      </c>
      <c r="AM44" s="437">
        <v>2.2751999999999999</v>
      </c>
      <c r="AN44" s="438">
        <v>0.2868</v>
      </c>
      <c r="AO44" s="434">
        <f>SQRT(AP44^2+AQ44^2)*1000/(1.73*AO21)</f>
        <v>127.88213849513039</v>
      </c>
      <c r="AP44" s="437">
        <v>2.238</v>
      </c>
      <c r="AQ44" s="438">
        <v>0.28920000000000001</v>
      </c>
      <c r="AR44" s="284"/>
      <c r="AS44" s="393"/>
      <c r="AT44" s="231"/>
      <c r="AU44" s="231"/>
      <c r="AV44" s="231"/>
      <c r="AW44" s="231"/>
      <c r="AX44" s="231"/>
      <c r="AY44" s="231"/>
      <c r="AZ44" s="231"/>
      <c r="BA44" s="231"/>
      <c r="BB44" s="231"/>
      <c r="BC44" s="231"/>
      <c r="BD44" s="231"/>
      <c r="BE44" s="231"/>
      <c r="BF44" s="231"/>
      <c r="BG44" s="231"/>
      <c r="BH44" s="231"/>
      <c r="BI44" s="231"/>
      <c r="BJ44" s="231"/>
      <c r="BK44" s="231"/>
      <c r="BL44" s="231"/>
      <c r="BM44" s="231"/>
      <c r="BN44" s="231"/>
      <c r="BO44" s="231"/>
      <c r="BP44" s="231"/>
      <c r="BQ44" s="231"/>
    </row>
    <row r="45" spans="1:69" s="230" customFormat="1" ht="16.5" customHeight="1" x14ac:dyDescent="0.25">
      <c r="A45" s="285" t="s">
        <v>140</v>
      </c>
      <c r="B45" s="286" t="s">
        <v>141</v>
      </c>
      <c r="C45" s="287"/>
      <c r="D45" s="288"/>
      <c r="E45" s="289"/>
      <c r="F45" s="290"/>
      <c r="G45" s="291"/>
      <c r="H45" s="434">
        <f>SQRT(I45^2+J45^2)*1000/(1.73*H21)</f>
        <v>68.285578548050736</v>
      </c>
      <c r="I45" s="437">
        <v>1.1832</v>
      </c>
      <c r="J45" s="438">
        <v>0.22800000000000001</v>
      </c>
      <c r="K45" s="434">
        <f>SQRT(L45^2+M45^2)*1000/(1.73*K21)</f>
        <v>68.560000576362967</v>
      </c>
      <c r="L45" s="437">
        <v>1.1872</v>
      </c>
      <c r="M45" s="438">
        <v>0.23280000000000001</v>
      </c>
      <c r="N45" s="434">
        <f>SQRT(O45^2+P45^2)*1000/(1.73*N21)</f>
        <v>67.511655512089078</v>
      </c>
      <c r="O45" s="437">
        <v>1.1696</v>
      </c>
      <c r="P45" s="438">
        <v>0.22639999999999999</v>
      </c>
      <c r="Q45" s="434">
        <f>SQRT(R45^2+S45^2)*1000/(1.73*Q21)</f>
        <v>65.349904313817206</v>
      </c>
      <c r="R45" s="437">
        <v>1.1304000000000001</v>
      </c>
      <c r="S45" s="438">
        <v>0.22800000000000001</v>
      </c>
      <c r="T45" s="434">
        <f>SQRT(U45^2+V45^2)*1000/(1.73*T21)</f>
        <v>65.794719829103613</v>
      </c>
      <c r="U45" s="437">
        <v>1.1392</v>
      </c>
      <c r="V45" s="438">
        <v>0.224</v>
      </c>
      <c r="W45" s="434">
        <f>SQRT(X45^2+Y45^2)*1000/(1.73*W21)</f>
        <v>67.057954249432683</v>
      </c>
      <c r="X45" s="437">
        <v>1.1616</v>
      </c>
      <c r="Y45" s="438">
        <v>0.22559999999999999</v>
      </c>
      <c r="Z45" s="434">
        <f>SQRT(AA45^2+AB45^2)*1000/(1.73*Z21)</f>
        <v>71.47714457957251</v>
      </c>
      <c r="AA45" s="437">
        <v>1.2407999999999999</v>
      </c>
      <c r="AB45" s="438">
        <v>0.22639999999999999</v>
      </c>
      <c r="AC45" s="434">
        <f>SQRT(AD45^2+AE45^2)*1000/(1.73*AC21)</f>
        <v>75.220970086334077</v>
      </c>
      <c r="AD45" s="437">
        <v>1.3071999999999999</v>
      </c>
      <c r="AE45" s="438">
        <v>0.23039999999999999</v>
      </c>
      <c r="AF45" s="434">
        <f>SQRT(AG45^2+AH45^2)*1000/(1.73*AF21)</f>
        <v>70.903761448547399</v>
      </c>
      <c r="AG45" s="437">
        <v>1.2327999999999999</v>
      </c>
      <c r="AH45" s="438">
        <v>0.21360000000000001</v>
      </c>
      <c r="AI45" s="434">
        <f>SQRT(AJ45^2+AK45^2)*1000/(1.73*AI21)</f>
        <v>71.016073440297447</v>
      </c>
      <c r="AJ45" s="437">
        <v>1.2376</v>
      </c>
      <c r="AK45" s="438">
        <v>0.1968</v>
      </c>
      <c r="AL45" s="434">
        <f>SQRT(AM45^2+AN45^2)*1000/(1.73*AL21)</f>
        <v>71.029110681518787</v>
      </c>
      <c r="AM45" s="437">
        <v>1.2392000000000001</v>
      </c>
      <c r="AN45" s="438">
        <v>0.188</v>
      </c>
      <c r="AO45" s="434">
        <f>SQRT(AP45^2+AQ45^2)*1000/(1.73*AO21)</f>
        <v>68.564856996429313</v>
      </c>
      <c r="AP45" s="437">
        <v>1.1952</v>
      </c>
      <c r="AQ45" s="438">
        <v>0.188</v>
      </c>
      <c r="AR45" s="284"/>
      <c r="AS45" s="393"/>
      <c r="AT45" s="231"/>
      <c r="AU45" s="231"/>
      <c r="AV45" s="231"/>
      <c r="AW45" s="231"/>
      <c r="AX45" s="231"/>
      <c r="AY45" s="231"/>
      <c r="AZ45" s="231"/>
      <c r="BA45" s="231"/>
      <c r="BB45" s="231"/>
      <c r="BC45" s="231"/>
      <c r="BD45" s="231"/>
      <c r="BE45" s="231"/>
      <c r="BF45" s="231"/>
      <c r="BG45" s="231"/>
      <c r="BH45" s="231"/>
      <c r="BI45" s="231"/>
      <c r="BJ45" s="231"/>
      <c r="BK45" s="231"/>
      <c r="BL45" s="231"/>
      <c r="BM45" s="231"/>
      <c r="BN45" s="231"/>
      <c r="BO45" s="231"/>
      <c r="BP45" s="231"/>
      <c r="BQ45" s="231"/>
    </row>
    <row r="46" spans="1:69" s="230" customFormat="1" ht="16.5" customHeight="1" x14ac:dyDescent="0.25">
      <c r="A46" s="285" t="s">
        <v>142</v>
      </c>
      <c r="B46" s="286" t="s">
        <v>143</v>
      </c>
      <c r="C46" s="287"/>
      <c r="D46" s="288"/>
      <c r="E46" s="289"/>
      <c r="F46" s="290"/>
      <c r="G46" s="291"/>
      <c r="H46" s="434">
        <f>SQRT(I46^2+J46^2)*1000/(1.73*H21)</f>
        <v>47.246015221165948</v>
      </c>
      <c r="I46" s="437">
        <v>0.82440000000000002</v>
      </c>
      <c r="J46" s="438">
        <v>0.1242</v>
      </c>
      <c r="K46" s="434">
        <f>SQRT(L46^2+M46^2)*1000/(1.73*K21)</f>
        <v>45.816547307320072</v>
      </c>
      <c r="L46" s="437">
        <v>0.79859999999999998</v>
      </c>
      <c r="M46" s="438">
        <v>0.126</v>
      </c>
      <c r="N46" s="434">
        <f>SQRT(O46^2+P46^2)*1000/(1.73*N21)</f>
        <v>44.978736121874995</v>
      </c>
      <c r="O46" s="437">
        <v>0.78420000000000001</v>
      </c>
      <c r="P46" s="438">
        <v>0.12239999999999999</v>
      </c>
      <c r="Q46" s="434">
        <f>SQRT(R46^2+S46^2)*1000/(1.73*Q21)</f>
        <v>45.774942642253798</v>
      </c>
      <c r="R46" s="437">
        <v>0.79859999999999998</v>
      </c>
      <c r="S46" s="438">
        <v>0.1212</v>
      </c>
      <c r="T46" s="434">
        <f>SQRT(U46^2+V46^2)*1000/(1.73*T21)</f>
        <v>46.178388381900355</v>
      </c>
      <c r="U46" s="437">
        <v>0.80579999999999996</v>
      </c>
      <c r="V46" s="438">
        <v>0.1212</v>
      </c>
      <c r="W46" s="434">
        <f>SQRT(X46^2+Y46^2)*1000/(1.73*W21)</f>
        <v>46.328125924793703</v>
      </c>
      <c r="X46" s="437">
        <v>0.80820000000000003</v>
      </c>
      <c r="Y46" s="438">
        <v>0.123</v>
      </c>
      <c r="Z46" s="434">
        <f>SQRT(AA46^2+AB46^2)*1000/(1.73*Z21)</f>
        <v>47.485221631949514</v>
      </c>
      <c r="AA46" s="437">
        <v>0.82920000000000005</v>
      </c>
      <c r="AB46" s="438">
        <v>0.1206</v>
      </c>
      <c r="AC46" s="434">
        <f>SQRT(AD46^2+AE46^2)*1000/(1.73*AC21)</f>
        <v>47.158083911238343</v>
      </c>
      <c r="AD46" s="437">
        <v>0.82379999999999998</v>
      </c>
      <c r="AE46" s="438">
        <v>0.1176</v>
      </c>
      <c r="AF46" s="434">
        <f>SQRT(AG46^2+AH46^2)*1000/(1.73*AF21)</f>
        <v>45.004843928467018</v>
      </c>
      <c r="AG46" s="437">
        <v>0.78539999999999999</v>
      </c>
      <c r="AH46" s="438">
        <v>0.1176</v>
      </c>
      <c r="AI46" s="434">
        <f>SQRT(AJ46^2+AK46^2)*1000/(1.73*AI21)</f>
        <v>44.244546359281593</v>
      </c>
      <c r="AJ46" s="437">
        <v>0.77339999999999998</v>
      </c>
      <c r="AK46" s="438">
        <v>0.10680000000000001</v>
      </c>
      <c r="AL46" s="434">
        <f>SQRT(AM46^2+AN46^2)*1000/(1.73*AL21)</f>
        <v>42.365641447375481</v>
      </c>
      <c r="AM46" s="437">
        <v>0.74099999999999999</v>
      </c>
      <c r="AN46" s="438">
        <v>9.9000000000000005E-2</v>
      </c>
      <c r="AO46" s="434">
        <f>SQRT(AP46^2+AQ46^2)*1000/(1.73*AO21)</f>
        <v>43.653375897025924</v>
      </c>
      <c r="AP46" s="437">
        <v>0.76319999999999999</v>
      </c>
      <c r="AQ46" s="438">
        <v>0.10440000000000001</v>
      </c>
      <c r="AR46" s="284"/>
      <c r="AS46" s="393"/>
      <c r="AT46" s="231"/>
      <c r="AU46" s="231"/>
      <c r="AV46" s="231"/>
      <c r="AW46" s="231"/>
      <c r="AX46" s="231"/>
      <c r="AY46" s="231"/>
      <c r="AZ46" s="231"/>
      <c r="BA46" s="231"/>
      <c r="BB46" s="231"/>
      <c r="BC46" s="231"/>
      <c r="BD46" s="231"/>
      <c r="BE46" s="231"/>
      <c r="BF46" s="231"/>
      <c r="BG46" s="231"/>
      <c r="BH46" s="231"/>
      <c r="BI46" s="231"/>
      <c r="BJ46" s="231"/>
      <c r="BK46" s="231"/>
      <c r="BL46" s="231"/>
      <c r="BM46" s="231"/>
      <c r="BN46" s="231"/>
      <c r="BO46" s="231"/>
      <c r="BP46" s="231"/>
      <c r="BQ46" s="231"/>
    </row>
    <row r="47" spans="1:69" s="230" customFormat="1" ht="16.5" customHeight="1" x14ac:dyDescent="0.25">
      <c r="A47" s="285" t="s">
        <v>144</v>
      </c>
      <c r="B47" s="286" t="s">
        <v>145</v>
      </c>
      <c r="C47" s="287"/>
      <c r="D47" s="288"/>
      <c r="E47" s="289"/>
      <c r="F47" s="290"/>
      <c r="G47" s="291"/>
      <c r="H47" s="434">
        <f>SQRT(I47^2+J47^2)*1000/(1.73*H21)</f>
        <v>76.123985992436019</v>
      </c>
      <c r="I47" s="437">
        <v>1.3304</v>
      </c>
      <c r="J47" s="438">
        <v>0.18559999999999999</v>
      </c>
      <c r="K47" s="434">
        <f>SQRT(L47^2+M47^2)*1000/(1.73*K21)</f>
        <v>75.251683121525531</v>
      </c>
      <c r="L47" s="437">
        <v>1.3148</v>
      </c>
      <c r="M47" s="438">
        <v>0.186</v>
      </c>
      <c r="N47" s="434">
        <f>SQRT(O47^2+P47^2)*1000/(1.73*N21)</f>
        <v>74.37341231739488</v>
      </c>
      <c r="O47" s="437">
        <v>1.2996000000000001</v>
      </c>
      <c r="P47" s="438">
        <v>0.18279999999999999</v>
      </c>
      <c r="Q47" s="434">
        <f>SQRT(R47^2+S47^2)*1000/(1.73*Q21)</f>
        <v>73.712979483913898</v>
      </c>
      <c r="R47" s="437">
        <v>1.288</v>
      </c>
      <c r="S47" s="438">
        <v>0.18160000000000001</v>
      </c>
      <c r="T47" s="434">
        <f>SQRT(U47^2+V47^2)*1000/(1.73*T21)</f>
        <v>73.620031306496173</v>
      </c>
      <c r="U47" s="437">
        <v>1.2864</v>
      </c>
      <c r="V47" s="438">
        <v>0.1812</v>
      </c>
      <c r="W47" s="434">
        <f>SQRT(X47^2+Y47^2)*1000/(1.73*W21)</f>
        <v>75.158662033072844</v>
      </c>
      <c r="X47" s="437">
        <v>1.3128</v>
      </c>
      <c r="Y47" s="438">
        <v>0.18840000000000001</v>
      </c>
      <c r="Z47" s="434">
        <f>SQRT(AA47^2+AB47^2)*1000/(1.73*Z21)</f>
        <v>76.921887177949813</v>
      </c>
      <c r="AA47" s="437">
        <v>1.3440000000000001</v>
      </c>
      <c r="AB47" s="438">
        <v>0.19</v>
      </c>
      <c r="AC47" s="434">
        <f>SQRT(AD47^2+AE47^2)*1000/(1.73*AC21)</f>
        <v>78.483380392642019</v>
      </c>
      <c r="AD47" s="437">
        <v>1.3715999999999999</v>
      </c>
      <c r="AE47" s="438">
        <v>0.19159999999999999</v>
      </c>
      <c r="AF47" s="434">
        <f>SQRT(AG47^2+AH47^2)*1000/(1.73*AF21)</f>
        <v>76.845055343135414</v>
      </c>
      <c r="AG47" s="437">
        <v>1.3428</v>
      </c>
      <c r="AH47" s="438">
        <v>0.1888</v>
      </c>
      <c r="AI47" s="434">
        <f>SQRT(AJ47^2+AK47^2)*1000/(1.73*AI21)</f>
        <v>74.142305918298931</v>
      </c>
      <c r="AJ47" s="437">
        <v>1.2968</v>
      </c>
      <c r="AK47" s="438">
        <v>0.17319999999999999</v>
      </c>
      <c r="AL47" s="434">
        <f>SQRT(AM47^2+AN47^2)*1000/(1.73*AL21)</f>
        <v>72.650498809609175</v>
      </c>
      <c r="AM47" s="437">
        <v>1.2704</v>
      </c>
      <c r="AN47" s="438">
        <v>0.17199999999999999</v>
      </c>
      <c r="AO47" s="434">
        <f>SQRT(AP47^2+AQ47^2)*1000/(1.73*AO21)</f>
        <v>72.018518538502377</v>
      </c>
      <c r="AP47" s="437">
        <v>1.2592000000000001</v>
      </c>
      <c r="AQ47" s="438">
        <v>0.1716</v>
      </c>
      <c r="AR47" s="284"/>
      <c r="AS47" s="393"/>
      <c r="AT47" s="231"/>
      <c r="AU47" s="231"/>
      <c r="AV47" s="231"/>
      <c r="AW47" s="231"/>
      <c r="AX47" s="231"/>
      <c r="AY47" s="231"/>
      <c r="AZ47" s="231"/>
      <c r="BA47" s="231"/>
      <c r="BB47" s="231"/>
      <c r="BC47" s="231"/>
      <c r="BD47" s="231"/>
      <c r="BE47" s="231"/>
      <c r="BF47" s="231"/>
      <c r="BG47" s="231"/>
      <c r="BH47" s="231"/>
      <c r="BI47" s="231"/>
      <c r="BJ47" s="231"/>
      <c r="BK47" s="231"/>
      <c r="BL47" s="231"/>
      <c r="BM47" s="231"/>
      <c r="BN47" s="231"/>
      <c r="BO47" s="231"/>
      <c r="BP47" s="231"/>
      <c r="BQ47" s="231"/>
    </row>
    <row r="48" spans="1:69" s="230" customFormat="1" ht="16.5" customHeight="1" x14ac:dyDescent="0.25">
      <c r="A48" s="285" t="s">
        <v>146</v>
      </c>
      <c r="B48" s="286" t="s">
        <v>147</v>
      </c>
      <c r="C48" s="287"/>
      <c r="D48" s="288"/>
      <c r="E48" s="289"/>
      <c r="F48" s="290"/>
      <c r="G48" s="291"/>
      <c r="H48" s="434">
        <f>SQRT(I48^2+J48^2)*1000/(1.73*H21)</f>
        <v>12.125434532841251</v>
      </c>
      <c r="I48" s="437">
        <v>0.21060000000000001</v>
      </c>
      <c r="J48" s="438">
        <v>3.78E-2</v>
      </c>
      <c r="K48" s="434">
        <f>SQRT(L48^2+M48^2)*1000/(1.73*K21)</f>
        <v>12.088861002639369</v>
      </c>
      <c r="L48" s="437">
        <v>0.2112</v>
      </c>
      <c r="M48" s="438">
        <v>0.03</v>
      </c>
      <c r="N48" s="434">
        <f>SQRT(O48^2+P48^2)*1000/(1.73*N21)</f>
        <v>12.096413942192443</v>
      </c>
      <c r="O48" s="437">
        <v>0.2094</v>
      </c>
      <c r="P48" s="438">
        <v>4.1399999999999999E-2</v>
      </c>
      <c r="Q48" s="434">
        <f>SQRT(R48^2+S48^2)*1000/(1.73*Q21)</f>
        <v>11.940284918510899</v>
      </c>
      <c r="R48" s="437">
        <v>0.20760000000000001</v>
      </c>
      <c r="S48" s="438">
        <v>3.5999999999999997E-2</v>
      </c>
      <c r="T48" s="434">
        <f>SQRT(U48^2+V48^2)*1000/(1.73*T21)</f>
        <v>12.064976051100333</v>
      </c>
      <c r="U48" s="437">
        <v>0.21060000000000001</v>
      </c>
      <c r="V48" s="438">
        <v>3.1199999999999999E-2</v>
      </c>
      <c r="W48" s="434">
        <f>SQRT(X48^2+Y48^2)*1000/(1.73*W21)</f>
        <v>11.86179091636342</v>
      </c>
      <c r="X48" s="437">
        <v>0.2064</v>
      </c>
      <c r="Y48" s="438">
        <v>3.4799999999999998E-2</v>
      </c>
      <c r="Z48" s="434">
        <f>SQRT(AA48^2+AB48^2)*1000/(1.73*Z21)</f>
        <v>12.58851778102156</v>
      </c>
      <c r="AA48" s="437">
        <v>0.219</v>
      </c>
      <c r="AB48" s="438">
        <v>3.7199999999999997E-2</v>
      </c>
      <c r="AC48" s="434">
        <f>SQRT(AD48^2+AE48^2)*1000/(1.73*AC21)</f>
        <v>14.272434815200169</v>
      </c>
      <c r="AD48" s="437">
        <v>0.24959999999999999</v>
      </c>
      <c r="AE48" s="438">
        <v>3.3599999999999998E-2</v>
      </c>
      <c r="AF48" s="434">
        <f>SQRT(AG48^2+AH48^2)*1000/(1.73*AF21)</f>
        <v>14.704771839758481</v>
      </c>
      <c r="AG48" s="437">
        <v>0.25679999999999997</v>
      </c>
      <c r="AH48" s="438">
        <v>3.7199999999999997E-2</v>
      </c>
      <c r="AI48" s="434">
        <f>SQRT(AJ48^2+AK48^2)*1000/(1.73*AI21)</f>
        <v>14.445465718569334</v>
      </c>
      <c r="AJ48" s="437">
        <v>0.25259999999999999</v>
      </c>
      <c r="AK48" s="438">
        <v>3.4200000000000001E-2</v>
      </c>
      <c r="AL48" s="434">
        <f>SQRT(AM48^2+AN48^2)*1000/(1.73*AL21)</f>
        <v>14.598957181210826</v>
      </c>
      <c r="AM48" s="437">
        <v>0.255</v>
      </c>
      <c r="AN48" s="438">
        <v>3.6600000000000001E-2</v>
      </c>
      <c r="AO48" s="434">
        <f>SQRT(AP48^2+AQ48^2)*1000/(1.73*AO21)</f>
        <v>13.941707206947257</v>
      </c>
      <c r="AP48" s="437">
        <v>0.24299999999999999</v>
      </c>
      <c r="AQ48" s="438">
        <v>3.8399999999999997E-2</v>
      </c>
      <c r="AR48" s="284"/>
      <c r="AS48" s="393"/>
      <c r="AT48" s="231"/>
      <c r="AU48" s="231"/>
      <c r="AV48" s="231"/>
      <c r="AW48" s="231"/>
      <c r="AX48" s="231"/>
      <c r="AY48" s="231"/>
      <c r="AZ48" s="231"/>
      <c r="BA48" s="231"/>
      <c r="BB48" s="231"/>
      <c r="BC48" s="231"/>
      <c r="BD48" s="231"/>
      <c r="BE48" s="231"/>
      <c r="BF48" s="231"/>
      <c r="BG48" s="231"/>
      <c r="BH48" s="231"/>
      <c r="BI48" s="231"/>
      <c r="BJ48" s="231"/>
      <c r="BK48" s="231"/>
      <c r="BL48" s="231"/>
      <c r="BM48" s="231"/>
      <c r="BN48" s="231"/>
      <c r="BO48" s="231"/>
      <c r="BP48" s="231"/>
      <c r="BQ48" s="231"/>
    </row>
    <row r="49" spans="1:69" s="230" customFormat="1" ht="16.5" customHeight="1" x14ac:dyDescent="0.25">
      <c r="A49" s="285" t="s">
        <v>148</v>
      </c>
      <c r="B49" s="286" t="s">
        <v>149</v>
      </c>
      <c r="C49" s="287"/>
      <c r="D49" s="288"/>
      <c r="E49" s="289"/>
      <c r="F49" s="290"/>
      <c r="G49" s="291"/>
      <c r="H49" s="434">
        <f>SQRT(I49^2+J49^2)*1000/(1.73*H21)</f>
        <v>148.31303261510402</v>
      </c>
      <c r="I49" s="437">
        <v>2.5836000000000001</v>
      </c>
      <c r="J49" s="438">
        <v>0.41760000000000003</v>
      </c>
      <c r="K49" s="434">
        <f>SQRT(L49^2+M49^2)*1000/(1.73*K21)</f>
        <v>144.73396442798969</v>
      </c>
      <c r="L49" s="437">
        <v>2.52</v>
      </c>
      <c r="M49" s="438">
        <v>0.41520000000000001</v>
      </c>
      <c r="N49" s="434">
        <f>SQRT(O49^2+P49^2)*1000/(1.73*N21)</f>
        <v>145.18092329290232</v>
      </c>
      <c r="O49" s="437">
        <v>2.5272000000000001</v>
      </c>
      <c r="P49" s="438">
        <v>0.42</v>
      </c>
      <c r="Q49" s="434">
        <f>SQRT(R49^2+S49^2)*1000/(1.73*Q21)</f>
        <v>146.34459108426418</v>
      </c>
      <c r="R49" s="437">
        <v>2.5488</v>
      </c>
      <c r="S49" s="438">
        <v>0.41520000000000001</v>
      </c>
      <c r="T49" s="434">
        <f>SQRT(U49^2+V49^2)*1000/(1.73*T21)</f>
        <v>146.96178939558786</v>
      </c>
      <c r="U49" s="437">
        <v>2.5608</v>
      </c>
      <c r="V49" s="438">
        <v>0.40920000000000001</v>
      </c>
      <c r="W49" s="434">
        <f>SQRT(X49^2+Y49^2)*1000/(1.73*W21)</f>
        <v>150.89995079337524</v>
      </c>
      <c r="X49" s="437">
        <v>2.6303999999999998</v>
      </c>
      <c r="Y49" s="438">
        <v>0.41399999999999998</v>
      </c>
      <c r="Z49" s="434">
        <f>SQRT(AA49^2+AB49^2)*1000/(1.73*Z21)</f>
        <v>159.46645068578204</v>
      </c>
      <c r="AA49" s="437">
        <v>2.7804000000000002</v>
      </c>
      <c r="AB49" s="438">
        <v>0.43319999999999997</v>
      </c>
      <c r="AC49" s="434">
        <f>SQRT(AD49^2+AE49^2)*1000/(1.73*AC21)</f>
        <v>167.51449379577826</v>
      </c>
      <c r="AD49" s="437">
        <v>2.9243999999999999</v>
      </c>
      <c r="AE49" s="438">
        <v>0.43080000000000002</v>
      </c>
      <c r="AF49" s="434">
        <f>SQRT(AG49^2+AH49^2)*1000/(1.73*AF21)</f>
        <v>165.22500627340369</v>
      </c>
      <c r="AG49" s="437">
        <v>2.8847999999999998</v>
      </c>
      <c r="AH49" s="438">
        <v>0.4224</v>
      </c>
      <c r="AI49" s="434">
        <f>SQRT(AJ49^2+AK49^2)*1000/(1.73*AI21)</f>
        <v>160.88933277287421</v>
      </c>
      <c r="AJ49" s="437">
        <v>2.8128000000000002</v>
      </c>
      <c r="AK49" s="438">
        <v>0.38519999999999999</v>
      </c>
      <c r="AL49" s="434">
        <f>SQRT(AM49^2+AN49^2)*1000/(1.73*AL21)</f>
        <v>161.34262910825186</v>
      </c>
      <c r="AM49" s="437">
        <v>2.8212000000000002</v>
      </c>
      <c r="AN49" s="438">
        <v>0.38279999999999997</v>
      </c>
      <c r="AO49" s="434">
        <f>SQRT(AP49^2+AQ49^2)*1000/(1.73*AO21)</f>
        <v>162.48514466136024</v>
      </c>
      <c r="AP49" s="437">
        <v>2.8403999999999998</v>
      </c>
      <c r="AQ49" s="438">
        <v>0.39119999999999999</v>
      </c>
      <c r="AR49" s="284"/>
      <c r="AS49" s="393"/>
      <c r="AT49" s="231"/>
      <c r="AU49" s="231"/>
      <c r="AV49" s="231"/>
      <c r="AW49" s="231"/>
      <c r="AX49" s="231"/>
      <c r="AY49" s="231"/>
      <c r="AZ49" s="231"/>
      <c r="BA49" s="231"/>
      <c r="BB49" s="231"/>
      <c r="BC49" s="231"/>
      <c r="BD49" s="231"/>
      <c r="BE49" s="231"/>
      <c r="BF49" s="231"/>
      <c r="BG49" s="231"/>
      <c r="BH49" s="231"/>
      <c r="BI49" s="231"/>
      <c r="BJ49" s="231"/>
      <c r="BK49" s="231"/>
      <c r="BL49" s="231"/>
      <c r="BM49" s="231"/>
      <c r="BN49" s="231"/>
      <c r="BO49" s="231"/>
      <c r="BP49" s="231"/>
      <c r="BQ49" s="231"/>
    </row>
    <row r="50" spans="1:69" s="230" customFormat="1" ht="16.5" customHeight="1" x14ac:dyDescent="0.25">
      <c r="A50" s="285" t="s">
        <v>150</v>
      </c>
      <c r="B50" s="286" t="s">
        <v>151</v>
      </c>
      <c r="C50" s="287"/>
      <c r="D50" s="288"/>
      <c r="E50" s="289"/>
      <c r="F50" s="290"/>
      <c r="G50" s="291"/>
      <c r="H50" s="434">
        <f>SQRT(I50^2+J50^2)*1000/(1.73*H21)</f>
        <v>70.836361317801504</v>
      </c>
      <c r="I50" s="437">
        <v>1.2407999999999999</v>
      </c>
      <c r="J50" s="438">
        <v>0.1512</v>
      </c>
      <c r="K50" s="434">
        <f>SQRT(L50^2+M50^2)*1000/(1.73*K21)</f>
        <v>68.794858229844678</v>
      </c>
      <c r="L50" s="437">
        <v>1.2048000000000001</v>
      </c>
      <c r="M50" s="438">
        <v>0.14879999999999999</v>
      </c>
      <c r="N50" s="434">
        <f>SQRT(O50^2+P50^2)*1000/(1.73*N21)</f>
        <v>68.969310689580652</v>
      </c>
      <c r="O50" s="437">
        <v>1.208</v>
      </c>
      <c r="P50" s="438">
        <v>0.14799999999999999</v>
      </c>
      <c r="Q50" s="434">
        <f>SQRT(R50^2+S50^2)*1000/(1.73*Q21)</f>
        <v>68.474342135867374</v>
      </c>
      <c r="R50" s="437">
        <v>1.1992</v>
      </c>
      <c r="S50" s="438">
        <v>0.14799999999999999</v>
      </c>
      <c r="T50" s="434">
        <f>SQRT(U50^2+V50^2)*1000/(1.73*T21)</f>
        <v>68.407357645446695</v>
      </c>
      <c r="U50" s="437">
        <v>1.1983999999999999</v>
      </c>
      <c r="V50" s="438">
        <v>0.14480000000000001</v>
      </c>
      <c r="W50" s="434">
        <f>SQRT(X50^2+Y50^2)*1000/(1.73*W21)</f>
        <v>69.548889930607231</v>
      </c>
      <c r="X50" s="437">
        <v>1.2183999999999999</v>
      </c>
      <c r="Y50" s="438">
        <v>0.1472</v>
      </c>
      <c r="Z50" s="434">
        <f>SQRT(AA50^2+AB50^2)*1000/(1.73*Z21)</f>
        <v>74.382483167032646</v>
      </c>
      <c r="AA50" s="437">
        <v>1.304</v>
      </c>
      <c r="AB50" s="438">
        <v>0.14960000000000001</v>
      </c>
      <c r="AC50" s="434">
        <f>SQRT(AD50^2+AE50^2)*1000/(1.73*AC21)</f>
        <v>77.060942961933151</v>
      </c>
      <c r="AD50" s="437">
        <v>1.3520000000000001</v>
      </c>
      <c r="AE50" s="438">
        <v>0.14560000000000001</v>
      </c>
      <c r="AF50" s="434">
        <f>SQRT(AG50^2+AH50^2)*1000/(1.73*AF21)</f>
        <v>80.209985455302203</v>
      </c>
      <c r="AG50" s="437">
        <v>1.4072</v>
      </c>
      <c r="AH50" s="438">
        <v>0.152</v>
      </c>
      <c r="AI50" s="434">
        <f>SQRT(AJ50^2+AK50^2)*1000/(1.73*AI21)</f>
        <v>79.089638656927875</v>
      </c>
      <c r="AJ50" s="437">
        <v>1.3879999999999999</v>
      </c>
      <c r="AK50" s="438">
        <v>0.14560000000000001</v>
      </c>
      <c r="AL50" s="434">
        <f>SQRT(AM50^2+AN50^2)*1000/(1.73*AL21)</f>
        <v>78.696311322218804</v>
      </c>
      <c r="AM50" s="437">
        <v>1.3815999999999999</v>
      </c>
      <c r="AN50" s="438">
        <v>0.14000000000000001</v>
      </c>
      <c r="AO50" s="434">
        <f>SQRT(AP50^2+AQ50^2)*1000/(1.73*AO21)</f>
        <v>77.45702884699395</v>
      </c>
      <c r="AP50" s="437">
        <v>1.3608</v>
      </c>
      <c r="AQ50" s="438">
        <v>0.128</v>
      </c>
      <c r="AR50" s="284"/>
      <c r="AS50" s="393"/>
      <c r="AT50" s="231"/>
      <c r="AU50" s="231"/>
      <c r="AV50" s="231"/>
      <c r="AW50" s="231"/>
      <c r="AX50" s="231"/>
      <c r="AY50" s="231"/>
      <c r="AZ50" s="231"/>
      <c r="BA50" s="231"/>
      <c r="BB50" s="231"/>
      <c r="BC50" s="231"/>
      <c r="BD50" s="231"/>
      <c r="BE50" s="231"/>
      <c r="BF50" s="231"/>
      <c r="BG50" s="231"/>
      <c r="BH50" s="231"/>
      <c r="BI50" s="231"/>
      <c r="BJ50" s="231"/>
      <c r="BK50" s="231"/>
      <c r="BL50" s="231"/>
      <c r="BM50" s="231"/>
      <c r="BN50" s="231"/>
      <c r="BO50" s="231"/>
      <c r="BP50" s="231"/>
      <c r="BQ50" s="231"/>
    </row>
    <row r="51" spans="1:69" s="230" customFormat="1" ht="16.5" customHeight="1" thickBot="1" x14ac:dyDescent="0.3">
      <c r="A51" s="439" t="s">
        <v>152</v>
      </c>
      <c r="B51" s="440" t="s">
        <v>153</v>
      </c>
      <c r="C51" s="441"/>
      <c r="D51" s="442"/>
      <c r="E51" s="443"/>
      <c r="F51" s="444"/>
      <c r="G51" s="445"/>
      <c r="H51" s="446">
        <f>SQRT(I51^2+J51^2)*1000/(1.73*H21)</f>
        <v>155.15005015260033</v>
      </c>
      <c r="I51" s="447">
        <v>2.7191999999999998</v>
      </c>
      <c r="J51" s="448">
        <v>0.31840000000000002</v>
      </c>
      <c r="K51" s="446">
        <f>SQRT(L51^2+M51^2)*1000/(1.73*K21)</f>
        <v>151.69100698056394</v>
      </c>
      <c r="L51" s="447">
        <v>2.6583999999999999</v>
      </c>
      <c r="M51" s="448">
        <v>0.31280000000000002</v>
      </c>
      <c r="N51" s="446">
        <f>SQRT(O51^2+P51^2)*1000/(1.73*N21)</f>
        <v>148.11550255852069</v>
      </c>
      <c r="O51" s="447">
        <v>2.5960000000000001</v>
      </c>
      <c r="P51" s="448">
        <v>0.30320000000000003</v>
      </c>
      <c r="Q51" s="446">
        <f>SQRT(R51^2+S51^2)*1000/(1.73*Q21)</f>
        <v>148.43597181833098</v>
      </c>
      <c r="R51" s="447">
        <v>2.6015999999999999</v>
      </c>
      <c r="S51" s="448">
        <v>0.30399999999999999</v>
      </c>
      <c r="T51" s="446">
        <f>SQRT(U51^2+V51^2)*1000/(1.73*T21)</f>
        <v>148.43071687869278</v>
      </c>
      <c r="U51" s="447">
        <v>2.6015999999999999</v>
      </c>
      <c r="V51" s="448">
        <v>0.30320000000000003</v>
      </c>
      <c r="W51" s="446">
        <f>SQRT(X51^2+Y51^2)*1000/(1.73*W21)</f>
        <v>155.95012627591129</v>
      </c>
      <c r="X51" s="447">
        <v>2.7336</v>
      </c>
      <c r="Y51" s="448">
        <v>0.31680000000000003</v>
      </c>
      <c r="Z51" s="446">
        <f>SQRT(AA51^2+AB51^2)*1000/(1.73*Z21)</f>
        <v>167.30468804630073</v>
      </c>
      <c r="AA51" s="447">
        <v>2.9327999999999999</v>
      </c>
      <c r="AB51" s="448">
        <v>0.33839999999999998</v>
      </c>
      <c r="AC51" s="446">
        <f>SQRT(AD51^2+AE51^2)*1000/(1.73*AC21)</f>
        <v>173.17091229393944</v>
      </c>
      <c r="AD51" s="447">
        <v>3.0367999999999999</v>
      </c>
      <c r="AE51" s="448">
        <v>0.34</v>
      </c>
      <c r="AF51" s="446">
        <f>SQRT(AG51^2+AH51^2)*1000/(1.73*AF21)</f>
        <v>163.07317313912688</v>
      </c>
      <c r="AG51" s="447">
        <v>2.8592</v>
      </c>
      <c r="AH51" s="448">
        <v>0.32479999999999998</v>
      </c>
      <c r="AI51" s="446">
        <f>SQRT(AJ51^2+AK51^2)*1000/(1.73*AI21)</f>
        <v>155.70112330484477</v>
      </c>
      <c r="AJ51" s="447">
        <v>2.7343999999999999</v>
      </c>
      <c r="AK51" s="448">
        <v>0.26800000000000002</v>
      </c>
      <c r="AL51" s="446">
        <f>SQRT(AM51^2+AN51^2)*1000/(1.73*AL21)</f>
        <v>154.4133070713591</v>
      </c>
      <c r="AM51" s="447">
        <v>2.7128000000000001</v>
      </c>
      <c r="AN51" s="448">
        <v>0.25519999999999998</v>
      </c>
      <c r="AO51" s="446">
        <f>SQRT(AP51^2+AQ51^2)*1000/(1.73*AO21)</f>
        <v>156.04673564937897</v>
      </c>
      <c r="AP51" s="447">
        <v>2.7416</v>
      </c>
      <c r="AQ51" s="448">
        <v>0.25679999999999997</v>
      </c>
      <c r="AR51" s="284"/>
      <c r="AS51" s="393"/>
      <c r="AT51" s="231"/>
      <c r="AU51" s="231"/>
      <c r="AV51" s="231"/>
      <c r="AW51" s="231"/>
      <c r="AX51" s="231"/>
      <c r="AY51" s="231"/>
      <c r="AZ51" s="231"/>
      <c r="BA51" s="231"/>
      <c r="BB51" s="231"/>
      <c r="BC51" s="231"/>
      <c r="BD51" s="231"/>
      <c r="BE51" s="231"/>
      <c r="BF51" s="231"/>
      <c r="BG51" s="231"/>
      <c r="BH51" s="231"/>
      <c r="BI51" s="231"/>
      <c r="BJ51" s="231"/>
      <c r="BK51" s="231"/>
      <c r="BL51" s="231"/>
      <c r="BM51" s="231"/>
      <c r="BN51" s="231"/>
      <c r="BO51" s="231"/>
      <c r="BP51" s="231"/>
      <c r="BQ51" s="231"/>
    </row>
    <row r="52" spans="1:69" s="355" customFormat="1" ht="16.5" customHeight="1" x14ac:dyDescent="0.25">
      <c r="A52" s="274"/>
      <c r="B52" s="306" t="s">
        <v>100</v>
      </c>
      <c r="C52" s="307"/>
      <c r="D52" s="420"/>
      <c r="E52" s="421"/>
      <c r="F52" s="422"/>
      <c r="G52" s="449"/>
      <c r="H52" s="402"/>
      <c r="I52" s="450">
        <v>2.1191999999999999E-2</v>
      </c>
      <c r="J52" s="451"/>
      <c r="K52" s="402"/>
      <c r="L52" s="450">
        <v>2.1144E-2</v>
      </c>
      <c r="M52" s="451"/>
      <c r="N52" s="402"/>
      <c r="O52" s="450">
        <v>2.1144E-2</v>
      </c>
      <c r="P52" s="451"/>
      <c r="Q52" s="402"/>
      <c r="R52" s="450">
        <v>2.1312000000000001E-2</v>
      </c>
      <c r="S52" s="451"/>
      <c r="T52" s="402"/>
      <c r="U52" s="450">
        <v>2.2967999999999999E-2</v>
      </c>
      <c r="V52" s="451"/>
      <c r="W52" s="402"/>
      <c r="X52" s="450">
        <v>2.3136E-2</v>
      </c>
      <c r="Y52" s="451"/>
      <c r="Z52" s="402"/>
      <c r="AA52" s="450">
        <v>2.2440000000000002E-2</v>
      </c>
      <c r="AB52" s="451"/>
      <c r="AC52" s="402"/>
      <c r="AD52" s="450">
        <v>2.1072E-2</v>
      </c>
      <c r="AE52" s="451"/>
      <c r="AF52" s="402"/>
      <c r="AG52" s="450">
        <v>2.0856E-2</v>
      </c>
      <c r="AH52" s="451"/>
      <c r="AI52" s="402"/>
      <c r="AJ52" s="450">
        <v>2.0688000000000002E-2</v>
      </c>
      <c r="AK52" s="451"/>
      <c r="AL52" s="402"/>
      <c r="AM52" s="450">
        <v>2.0832E-2</v>
      </c>
      <c r="AN52" s="451"/>
      <c r="AO52" s="402"/>
      <c r="AP52" s="450">
        <v>2.0808E-2</v>
      </c>
      <c r="AQ52" s="451"/>
      <c r="AR52" s="284"/>
      <c r="AS52" s="231"/>
      <c r="AT52" s="231"/>
      <c r="AU52" s="231"/>
      <c r="AV52" s="231"/>
      <c r="AW52" s="231"/>
      <c r="AX52" s="231"/>
      <c r="AY52" s="231"/>
      <c r="AZ52" s="231"/>
      <c r="BA52" s="231"/>
      <c r="BB52" s="231"/>
      <c r="BC52" s="231"/>
      <c r="BD52" s="231"/>
      <c r="BE52" s="231"/>
      <c r="BF52" s="231"/>
      <c r="BG52" s="231"/>
      <c r="BH52" s="231"/>
      <c r="BI52" s="231"/>
      <c r="BJ52" s="231"/>
      <c r="BK52" s="231"/>
      <c r="BL52" s="231"/>
      <c r="BM52" s="231"/>
      <c r="BN52" s="231"/>
      <c r="BO52" s="231"/>
      <c r="BP52" s="231"/>
      <c r="BQ52" s="231"/>
    </row>
    <row r="53" spans="1:69" s="230" customFormat="1" ht="16.5" customHeight="1" thickBot="1" x14ac:dyDescent="0.3">
      <c r="A53" s="439"/>
      <c r="B53" s="440" t="s">
        <v>101</v>
      </c>
      <c r="C53" s="452"/>
      <c r="D53" s="453"/>
      <c r="E53" s="454"/>
      <c r="F53" s="455"/>
      <c r="G53" s="456"/>
      <c r="H53" s="457"/>
      <c r="I53" s="458">
        <v>1.1927999999999999E-2</v>
      </c>
      <c r="J53" s="459"/>
      <c r="K53" s="457"/>
      <c r="L53" s="458">
        <v>1.2408000000000001E-2</v>
      </c>
      <c r="M53" s="459"/>
      <c r="N53" s="457"/>
      <c r="O53" s="458">
        <v>1.2312E-2</v>
      </c>
      <c r="P53" s="459"/>
      <c r="Q53" s="457"/>
      <c r="R53" s="458">
        <v>1.2288E-2</v>
      </c>
      <c r="S53" s="459"/>
      <c r="T53" s="457"/>
      <c r="U53" s="458">
        <v>1.2408000000000001E-2</v>
      </c>
      <c r="V53" s="459"/>
      <c r="W53" s="457"/>
      <c r="X53" s="458">
        <v>1.2239999999999999E-2</v>
      </c>
      <c r="Y53" s="459"/>
      <c r="Z53" s="457"/>
      <c r="AA53" s="458">
        <v>1.2432E-2</v>
      </c>
      <c r="AB53" s="459"/>
      <c r="AC53" s="457"/>
      <c r="AD53" s="458">
        <v>1.2288E-2</v>
      </c>
      <c r="AE53" s="459"/>
      <c r="AF53" s="457"/>
      <c r="AG53" s="458">
        <v>1.1783999999999999E-2</v>
      </c>
      <c r="AH53" s="459"/>
      <c r="AI53" s="457"/>
      <c r="AJ53" s="458">
        <v>1.1472E-2</v>
      </c>
      <c r="AK53" s="459"/>
      <c r="AL53" s="457"/>
      <c r="AM53" s="458">
        <v>1.1495999999999999E-2</v>
      </c>
      <c r="AN53" s="459"/>
      <c r="AO53" s="457"/>
      <c r="AP53" s="458">
        <v>1.1304E-2</v>
      </c>
      <c r="AQ53" s="459"/>
      <c r="AR53" s="284"/>
      <c r="AS53" s="231"/>
      <c r="AT53" s="231"/>
      <c r="AU53" s="231"/>
      <c r="AV53" s="231"/>
      <c r="AW53" s="231"/>
      <c r="AX53" s="231"/>
      <c r="AY53" s="231"/>
      <c r="AZ53" s="231"/>
      <c r="BA53" s="231"/>
      <c r="BB53" s="231"/>
      <c r="BC53" s="231"/>
      <c r="BD53" s="231"/>
      <c r="BE53" s="231"/>
      <c r="BF53" s="231"/>
      <c r="BG53" s="231"/>
      <c r="BH53" s="231"/>
      <c r="BI53" s="231"/>
      <c r="BJ53" s="231"/>
      <c r="BK53" s="231"/>
      <c r="BL53" s="231"/>
      <c r="BM53" s="231"/>
      <c r="BN53" s="231"/>
      <c r="BO53" s="231"/>
      <c r="BP53" s="231"/>
      <c r="BQ53" s="231"/>
    </row>
    <row r="54" spans="1:69" s="230" customFormat="1" ht="16.5" customHeight="1" x14ac:dyDescent="0.25">
      <c r="A54" s="2113" t="s">
        <v>102</v>
      </c>
      <c r="B54" s="2114"/>
      <c r="C54" s="2114"/>
      <c r="D54" s="2114"/>
      <c r="E54" s="2114"/>
      <c r="F54" s="2114"/>
      <c r="G54" s="2147"/>
      <c r="H54" s="281">
        <f>H40+H41+H42+H43+H44+H45</f>
        <v>510.57307758108897</v>
      </c>
      <c r="I54" s="282">
        <f>I40+I41+I42+I43+I44+I45</f>
        <v>8.9045000000000005</v>
      </c>
      <c r="J54" s="283">
        <f>J40+J41+J42+J43+J44+J45</f>
        <v>1.3375000000000001</v>
      </c>
      <c r="K54" s="281">
        <f t="shared" ref="K54:AQ54" si="4">K40+K41+K42+K43+K44+K45</f>
        <v>502.95458891224814</v>
      </c>
      <c r="L54" s="282">
        <f t="shared" si="4"/>
        <v>8.7675999999999998</v>
      </c>
      <c r="M54" s="283">
        <f t="shared" si="4"/>
        <v>1.3435999999999999</v>
      </c>
      <c r="N54" s="281">
        <f t="shared" si="4"/>
        <v>497.4947410277598</v>
      </c>
      <c r="O54" s="282">
        <f t="shared" si="4"/>
        <v>8.6720000000000006</v>
      </c>
      <c r="P54" s="283">
        <f t="shared" si="4"/>
        <v>1.3308</v>
      </c>
      <c r="Q54" s="281">
        <f t="shared" si="4"/>
        <v>492.95740412984497</v>
      </c>
      <c r="R54" s="282">
        <f t="shared" si="4"/>
        <v>8.5908000000000015</v>
      </c>
      <c r="S54" s="283">
        <f t="shared" si="4"/>
        <v>1.3290999999999999</v>
      </c>
      <c r="T54" s="281">
        <f t="shared" si="4"/>
        <v>496.48203214229966</v>
      </c>
      <c r="U54" s="282">
        <f t="shared" si="4"/>
        <v>8.6569000000000003</v>
      </c>
      <c r="V54" s="283">
        <f t="shared" si="4"/>
        <v>1.3122</v>
      </c>
      <c r="W54" s="281">
        <f t="shared" si="4"/>
        <v>506.69942209150628</v>
      </c>
      <c r="X54" s="282">
        <f t="shared" si="4"/>
        <v>8.8392000000000017</v>
      </c>
      <c r="Y54" s="283">
        <f t="shared" si="4"/>
        <v>1.3136999999999999</v>
      </c>
      <c r="Z54" s="281">
        <f t="shared" si="4"/>
        <v>529.00370767118284</v>
      </c>
      <c r="AA54" s="282">
        <f t="shared" si="4"/>
        <v>9.2333999999999996</v>
      </c>
      <c r="AB54" s="283">
        <f t="shared" si="4"/>
        <v>1.3357999999999999</v>
      </c>
      <c r="AC54" s="281">
        <f t="shared" si="4"/>
        <v>558.40904506105312</v>
      </c>
      <c r="AD54" s="282">
        <f t="shared" si="4"/>
        <v>9.7540999999999993</v>
      </c>
      <c r="AE54" s="283">
        <f t="shared" si="4"/>
        <v>1.3603999999999998</v>
      </c>
      <c r="AF54" s="281">
        <f t="shared" si="4"/>
        <v>561.53237368579778</v>
      </c>
      <c r="AG54" s="282">
        <f t="shared" si="4"/>
        <v>9.8133999999999997</v>
      </c>
      <c r="AH54" s="283">
        <f t="shared" si="4"/>
        <v>1.3355000000000001</v>
      </c>
      <c r="AI54" s="281">
        <f t="shared" si="4"/>
        <v>557.89724551277698</v>
      </c>
      <c r="AJ54" s="282">
        <f t="shared" si="4"/>
        <v>9.7651000000000021</v>
      </c>
      <c r="AK54" s="283">
        <f t="shared" si="4"/>
        <v>1.2193000000000001</v>
      </c>
      <c r="AL54" s="281">
        <f t="shared" si="4"/>
        <v>549.00057534974439</v>
      </c>
      <c r="AM54" s="282">
        <f t="shared" si="4"/>
        <v>9.6190999999999995</v>
      </c>
      <c r="AN54" s="283">
        <f t="shared" si="4"/>
        <v>1.1237999999999999</v>
      </c>
      <c r="AO54" s="281">
        <f t="shared" si="4"/>
        <v>539.22622902902401</v>
      </c>
      <c r="AP54" s="282">
        <f t="shared" si="4"/>
        <v>9.4448999999999987</v>
      </c>
      <c r="AQ54" s="283">
        <f t="shared" si="4"/>
        <v>1.1245000000000001</v>
      </c>
      <c r="AR54" s="284"/>
      <c r="AS54" s="231"/>
      <c r="AT54" s="231"/>
      <c r="AU54" s="231"/>
      <c r="AV54" s="231"/>
      <c r="AW54" s="231"/>
      <c r="AX54" s="231"/>
      <c r="AY54" s="231"/>
      <c r="AZ54" s="231"/>
      <c r="BA54" s="231"/>
      <c r="BB54" s="231"/>
      <c r="BC54" s="231"/>
      <c r="BD54" s="231"/>
      <c r="BE54" s="231"/>
      <c r="BF54" s="231"/>
      <c r="BG54" s="231"/>
      <c r="BH54" s="231"/>
      <c r="BI54" s="231"/>
      <c r="BJ54" s="231"/>
      <c r="BK54" s="231"/>
      <c r="BL54" s="231"/>
      <c r="BM54" s="231"/>
      <c r="BN54" s="231"/>
      <c r="BO54" s="231"/>
      <c r="BP54" s="231"/>
      <c r="BQ54" s="231"/>
    </row>
    <row r="55" spans="1:69" s="230" customFormat="1" ht="16.5" customHeight="1" thickBot="1" x14ac:dyDescent="0.3">
      <c r="A55" s="2116" t="s">
        <v>103</v>
      </c>
      <c r="B55" s="2117"/>
      <c r="C55" s="2117"/>
      <c r="D55" s="2117"/>
      <c r="E55" s="2117"/>
      <c r="F55" s="2117"/>
      <c r="G55" s="2171"/>
      <c r="H55" s="302">
        <f t="shared" ref="H55:AQ55" si="5">H50+H49+H48+H47+H46+H51</f>
        <v>509.79487983194906</v>
      </c>
      <c r="I55" s="303">
        <f t="shared" si="5"/>
        <v>8.9089999999999989</v>
      </c>
      <c r="J55" s="304">
        <f t="shared" si="5"/>
        <v>1.2347999999999999</v>
      </c>
      <c r="K55" s="302">
        <f t="shared" si="5"/>
        <v>498.37692106988328</v>
      </c>
      <c r="L55" s="303">
        <f t="shared" si="5"/>
        <v>8.7078000000000007</v>
      </c>
      <c r="M55" s="304">
        <f t="shared" si="5"/>
        <v>1.2188000000000001</v>
      </c>
      <c r="N55" s="302">
        <f t="shared" si="5"/>
        <v>493.71429892246596</v>
      </c>
      <c r="O55" s="303">
        <f t="shared" si="5"/>
        <v>8.6244000000000014</v>
      </c>
      <c r="P55" s="304">
        <f t="shared" si="5"/>
        <v>1.2178</v>
      </c>
      <c r="Q55" s="302">
        <f t="shared" si="5"/>
        <v>494.68311208314111</v>
      </c>
      <c r="R55" s="303">
        <f t="shared" si="5"/>
        <v>8.6438000000000006</v>
      </c>
      <c r="S55" s="304">
        <f t="shared" si="5"/>
        <v>1.206</v>
      </c>
      <c r="T55" s="302">
        <f t="shared" si="5"/>
        <v>495.6632596592242</v>
      </c>
      <c r="U55" s="303">
        <f t="shared" si="5"/>
        <v>8.6635999999999989</v>
      </c>
      <c r="V55" s="304">
        <f t="shared" si="5"/>
        <v>1.1908000000000001</v>
      </c>
      <c r="W55" s="302">
        <f t="shared" si="5"/>
        <v>509.74754587412372</v>
      </c>
      <c r="X55" s="303">
        <f t="shared" si="5"/>
        <v>8.9098000000000006</v>
      </c>
      <c r="Y55" s="304">
        <f t="shared" si="5"/>
        <v>1.2242</v>
      </c>
      <c r="Z55" s="302">
        <f t="shared" si="5"/>
        <v>538.14924849003637</v>
      </c>
      <c r="AA55" s="303">
        <f t="shared" si="5"/>
        <v>9.4094000000000015</v>
      </c>
      <c r="AB55" s="304">
        <f t="shared" si="5"/>
        <v>1.2690000000000001</v>
      </c>
      <c r="AC55" s="302">
        <f t="shared" si="5"/>
        <v>557.66024817073139</v>
      </c>
      <c r="AD55" s="303">
        <f t="shared" si="5"/>
        <v>9.7582000000000004</v>
      </c>
      <c r="AE55" s="304">
        <f t="shared" si="5"/>
        <v>1.2592000000000001</v>
      </c>
      <c r="AF55" s="302">
        <f t="shared" si="5"/>
        <v>545.06283597919378</v>
      </c>
      <c r="AG55" s="303">
        <f t="shared" si="5"/>
        <v>9.5362000000000009</v>
      </c>
      <c r="AH55" s="304">
        <f t="shared" si="5"/>
        <v>1.2427999999999999</v>
      </c>
      <c r="AI55" s="302">
        <f t="shared" si="5"/>
        <v>528.51241273079665</v>
      </c>
      <c r="AJ55" s="303">
        <f t="shared" si="5"/>
        <v>9.2579999999999991</v>
      </c>
      <c r="AK55" s="304">
        <f t="shared" si="5"/>
        <v>1.113</v>
      </c>
      <c r="AL55" s="302">
        <f t="shared" si="5"/>
        <v>524.06734494002524</v>
      </c>
      <c r="AM55" s="303">
        <f t="shared" si="5"/>
        <v>9.1819999999999986</v>
      </c>
      <c r="AN55" s="304">
        <f t="shared" si="5"/>
        <v>1.0855999999999999</v>
      </c>
      <c r="AO55" s="302">
        <f t="shared" si="5"/>
        <v>525.60251080020873</v>
      </c>
      <c r="AP55" s="303">
        <f t="shared" si="5"/>
        <v>9.2082000000000015</v>
      </c>
      <c r="AQ55" s="304">
        <f t="shared" si="5"/>
        <v>1.0904</v>
      </c>
      <c r="AS55" s="231"/>
      <c r="AT55" s="231"/>
      <c r="AU55" s="231"/>
      <c r="AV55" s="231"/>
      <c r="AW55" s="231"/>
      <c r="AX55" s="231"/>
      <c r="AY55" s="231"/>
      <c r="AZ55" s="231"/>
      <c r="BA55" s="231"/>
      <c r="BB55" s="231"/>
      <c r="BC55" s="231"/>
      <c r="BD55" s="231"/>
      <c r="BE55" s="231"/>
      <c r="BF55" s="231"/>
      <c r="BG55" s="231"/>
      <c r="BH55" s="231"/>
      <c r="BI55" s="231"/>
      <c r="BJ55" s="231"/>
      <c r="BK55" s="231"/>
      <c r="BL55" s="231"/>
      <c r="BM55" s="231"/>
      <c r="BN55" s="231"/>
      <c r="BO55" s="231"/>
      <c r="BP55" s="231"/>
      <c r="BQ55" s="231"/>
    </row>
    <row r="56" spans="1:69" s="230" customFormat="1" ht="16.5" customHeight="1" thickBot="1" x14ac:dyDescent="0.3">
      <c r="A56" s="2119" t="s">
        <v>104</v>
      </c>
      <c r="B56" s="2120"/>
      <c r="C56" s="2120"/>
      <c r="D56" s="2120"/>
      <c r="E56" s="2120"/>
      <c r="F56" s="2120"/>
      <c r="G56" s="2120"/>
      <c r="H56" s="323">
        <f t="shared" ref="H56:AQ56" si="6">H54+H55</f>
        <v>1020.3679574130381</v>
      </c>
      <c r="I56" s="320">
        <f>I54+I55</f>
        <v>17.813499999999998</v>
      </c>
      <c r="J56" s="321">
        <f t="shared" si="6"/>
        <v>2.5723000000000003</v>
      </c>
      <c r="K56" s="323">
        <f t="shared" si="6"/>
        <v>1001.3315099821314</v>
      </c>
      <c r="L56" s="320">
        <f t="shared" si="6"/>
        <v>17.4754</v>
      </c>
      <c r="M56" s="321">
        <f t="shared" si="6"/>
        <v>2.5624000000000002</v>
      </c>
      <c r="N56" s="323">
        <f t="shared" si="6"/>
        <v>991.20903995022582</v>
      </c>
      <c r="O56" s="320">
        <f t="shared" si="6"/>
        <v>17.296400000000002</v>
      </c>
      <c r="P56" s="321">
        <f t="shared" si="6"/>
        <v>2.5486</v>
      </c>
      <c r="Q56" s="323">
        <f t="shared" si="6"/>
        <v>987.64051621298609</v>
      </c>
      <c r="R56" s="320">
        <f t="shared" si="6"/>
        <v>17.2346</v>
      </c>
      <c r="S56" s="321">
        <f t="shared" si="6"/>
        <v>2.5350999999999999</v>
      </c>
      <c r="T56" s="323">
        <f t="shared" si="6"/>
        <v>992.14529180152385</v>
      </c>
      <c r="U56" s="320">
        <f t="shared" si="6"/>
        <v>17.320499999999999</v>
      </c>
      <c r="V56" s="321">
        <f t="shared" si="6"/>
        <v>2.5030000000000001</v>
      </c>
      <c r="W56" s="323">
        <f t="shared" si="6"/>
        <v>1016.4469679656299</v>
      </c>
      <c r="X56" s="320">
        <f t="shared" si="6"/>
        <v>17.749000000000002</v>
      </c>
      <c r="Y56" s="321">
        <f t="shared" si="6"/>
        <v>2.5378999999999996</v>
      </c>
      <c r="Z56" s="323">
        <f t="shared" si="6"/>
        <v>1067.1529561612192</v>
      </c>
      <c r="AA56" s="320">
        <f t="shared" si="6"/>
        <v>18.642800000000001</v>
      </c>
      <c r="AB56" s="321">
        <f t="shared" si="6"/>
        <v>2.6048</v>
      </c>
      <c r="AC56" s="323">
        <f>AC54+AC55</f>
        <v>1116.0692932317845</v>
      </c>
      <c r="AD56" s="320">
        <f t="shared" si="6"/>
        <v>19.5123</v>
      </c>
      <c r="AE56" s="321">
        <f t="shared" si="6"/>
        <v>2.6196000000000002</v>
      </c>
      <c r="AF56" s="323">
        <f>AF54+AF55</f>
        <v>1106.5952096649917</v>
      </c>
      <c r="AG56" s="320">
        <f>AG54+AG55</f>
        <v>19.349600000000002</v>
      </c>
      <c r="AH56" s="321">
        <f>AH54+AH55</f>
        <v>2.5783</v>
      </c>
      <c r="AI56" s="323">
        <f t="shared" si="6"/>
        <v>1086.4096582435736</v>
      </c>
      <c r="AJ56" s="320">
        <f t="shared" si="6"/>
        <v>19.023099999999999</v>
      </c>
      <c r="AK56" s="321">
        <f t="shared" si="6"/>
        <v>2.3323</v>
      </c>
      <c r="AL56" s="323">
        <f t="shared" si="6"/>
        <v>1073.0679202897695</v>
      </c>
      <c r="AM56" s="320">
        <f t="shared" si="6"/>
        <v>18.801099999999998</v>
      </c>
      <c r="AN56" s="321">
        <f t="shared" si="6"/>
        <v>2.2093999999999996</v>
      </c>
      <c r="AO56" s="323">
        <f t="shared" si="6"/>
        <v>1064.8287398292327</v>
      </c>
      <c r="AP56" s="320">
        <f>AP54+AP55</f>
        <v>18.653100000000002</v>
      </c>
      <c r="AQ56" s="321">
        <f t="shared" si="6"/>
        <v>2.2149000000000001</v>
      </c>
      <c r="AS56" s="231"/>
      <c r="AT56" s="231"/>
      <c r="AU56" s="231"/>
      <c r="AV56" s="231"/>
      <c r="AW56" s="231"/>
      <c r="AX56" s="231"/>
      <c r="AY56" s="231"/>
      <c r="AZ56" s="231"/>
      <c r="BA56" s="231"/>
      <c r="BB56" s="231"/>
      <c r="BC56" s="231"/>
      <c r="BD56" s="231"/>
      <c r="BE56" s="231"/>
      <c r="BF56" s="231"/>
      <c r="BG56" s="231"/>
      <c r="BH56" s="231"/>
      <c r="BI56" s="231"/>
      <c r="BJ56" s="231"/>
      <c r="BK56" s="231"/>
      <c r="BL56" s="231"/>
      <c r="BM56" s="231"/>
      <c r="BN56" s="231"/>
      <c r="BO56" s="231"/>
      <c r="BP56" s="231"/>
      <c r="BQ56" s="231"/>
    </row>
    <row r="57" spans="1:69" s="375" customFormat="1" ht="15.75" customHeight="1" x14ac:dyDescent="0.25">
      <c r="B57" s="460"/>
      <c r="C57" s="460"/>
      <c r="D57" s="460"/>
      <c r="E57" s="460"/>
      <c r="F57" s="460"/>
      <c r="T57" s="376"/>
      <c r="U57" s="377"/>
      <c r="AR57" s="230"/>
      <c r="AS57" s="231"/>
      <c r="AT57" s="231"/>
      <c r="AU57" s="231"/>
      <c r="AV57" s="231"/>
      <c r="AW57" s="231"/>
      <c r="AX57" s="231"/>
      <c r="AY57" s="231"/>
      <c r="AZ57" s="231"/>
      <c r="BA57" s="379"/>
      <c r="BB57" s="379"/>
      <c r="BC57" s="379"/>
      <c r="BD57" s="379"/>
      <c r="BE57" s="379"/>
      <c r="BF57" s="379"/>
      <c r="BG57" s="379"/>
      <c r="BH57" s="379"/>
      <c r="BI57" s="379"/>
      <c r="BJ57" s="379"/>
      <c r="BK57" s="379"/>
      <c r="BL57" s="379"/>
      <c r="BM57" s="379"/>
      <c r="BN57" s="379"/>
      <c r="BO57" s="379"/>
      <c r="BP57" s="379"/>
      <c r="BQ57" s="379"/>
    </row>
    <row r="58" spans="1:69" s="230" customFormat="1" ht="16.5" customHeight="1" thickBot="1" x14ac:dyDescent="0.3">
      <c r="A58" s="325" t="s">
        <v>19</v>
      </c>
      <c r="B58" s="231"/>
      <c r="C58" s="231"/>
      <c r="D58" s="231"/>
      <c r="E58" s="231"/>
      <c r="F58" s="231"/>
      <c r="G58" s="231"/>
      <c r="H58" s="326"/>
      <c r="I58" s="327"/>
      <c r="J58" s="266"/>
      <c r="K58" s="328"/>
      <c r="L58" s="328"/>
      <c r="M58" s="328"/>
      <c r="N58" s="328"/>
      <c r="O58" s="328"/>
      <c r="P58" s="328"/>
      <c r="Q58" s="328"/>
      <c r="R58" s="328"/>
      <c r="S58" s="328"/>
      <c r="T58" s="328"/>
      <c r="U58" s="328"/>
      <c r="V58" s="328"/>
      <c r="W58" s="328"/>
      <c r="X58" s="328"/>
      <c r="Y58" s="328"/>
      <c r="Z58" s="328"/>
      <c r="AA58" s="328"/>
      <c r="AB58" s="328"/>
      <c r="AC58" s="328"/>
      <c r="AD58" s="328"/>
      <c r="AE58" s="328"/>
      <c r="AF58" s="328"/>
      <c r="AG58" s="328"/>
      <c r="AH58" s="328"/>
      <c r="AI58" s="328"/>
      <c r="AJ58" s="328"/>
      <c r="AK58" s="328"/>
      <c r="AL58" s="328"/>
      <c r="AM58" s="328"/>
      <c r="AN58" s="328"/>
      <c r="AO58" s="328"/>
      <c r="AP58" s="328"/>
      <c r="AQ58" s="328"/>
      <c r="AS58" s="231"/>
      <c r="AT58" s="231"/>
      <c r="AU58" s="231"/>
      <c r="AV58" s="231"/>
      <c r="AW58" s="231"/>
      <c r="AX58" s="231"/>
      <c r="AY58" s="231"/>
      <c r="AZ58" s="231"/>
      <c r="BA58" s="231"/>
      <c r="BB58" s="231"/>
      <c r="BC58" s="231"/>
      <c r="BD58" s="231"/>
      <c r="BE58" s="231"/>
      <c r="BF58" s="231"/>
      <c r="BG58" s="231"/>
      <c r="BH58" s="231"/>
      <c r="BI58" s="231"/>
      <c r="BJ58" s="231"/>
      <c r="BK58" s="231"/>
      <c r="BL58" s="231"/>
      <c r="BM58" s="231"/>
      <c r="BN58" s="231"/>
      <c r="BO58" s="231"/>
      <c r="BP58" s="231"/>
      <c r="BQ58" s="231"/>
    </row>
    <row r="59" spans="1:69" s="230" customFormat="1" ht="16.5" customHeight="1" x14ac:dyDescent="0.25">
      <c r="A59" s="2061" t="s">
        <v>0</v>
      </c>
      <c r="B59" s="329" t="s">
        <v>22</v>
      </c>
      <c r="C59" s="330"/>
      <c r="D59" s="330" t="s">
        <v>45</v>
      </c>
      <c r="E59" s="330"/>
      <c r="F59" s="330"/>
      <c r="G59" s="331"/>
      <c r="H59" s="332">
        <f>$C$61/1000</f>
        <v>2.3E-2</v>
      </c>
      <c r="I59" s="333" t="s">
        <v>2</v>
      </c>
      <c r="J59" s="334">
        <f>$G$61/1000</f>
        <v>0.158</v>
      </c>
      <c r="K59" s="332">
        <f>$C$61/1000</f>
        <v>2.3E-2</v>
      </c>
      <c r="L59" s="333" t="s">
        <v>2</v>
      </c>
      <c r="M59" s="334">
        <f>$G$61/1000</f>
        <v>0.158</v>
      </c>
      <c r="N59" s="332">
        <f>$C$61/1000</f>
        <v>2.3E-2</v>
      </c>
      <c r="O59" s="333" t="s">
        <v>2</v>
      </c>
      <c r="P59" s="334">
        <f>$G$61/1000</f>
        <v>0.158</v>
      </c>
      <c r="Q59" s="332">
        <f>$C$61/1000</f>
        <v>2.3E-2</v>
      </c>
      <c r="R59" s="333" t="s">
        <v>2</v>
      </c>
      <c r="S59" s="334">
        <f>$G$61/1000</f>
        <v>0.158</v>
      </c>
      <c r="T59" s="332">
        <f>$C$61/1000</f>
        <v>2.3E-2</v>
      </c>
      <c r="U59" s="333" t="s">
        <v>2</v>
      </c>
      <c r="V59" s="334">
        <f>$G$61/1000</f>
        <v>0.158</v>
      </c>
      <c r="W59" s="332">
        <f>$C$61/1000</f>
        <v>2.3E-2</v>
      </c>
      <c r="X59" s="333" t="s">
        <v>2</v>
      </c>
      <c r="Y59" s="334">
        <f>$G$61/1000</f>
        <v>0.158</v>
      </c>
      <c r="Z59" s="332">
        <f>$C$61/1000</f>
        <v>2.3E-2</v>
      </c>
      <c r="AA59" s="333" t="s">
        <v>2</v>
      </c>
      <c r="AB59" s="334">
        <f>$G$61/1000</f>
        <v>0.158</v>
      </c>
      <c r="AC59" s="332">
        <f>$C$61/1000</f>
        <v>2.3E-2</v>
      </c>
      <c r="AD59" s="333" t="s">
        <v>2</v>
      </c>
      <c r="AE59" s="334">
        <f>$G$61/1000</f>
        <v>0.158</v>
      </c>
      <c r="AF59" s="332">
        <f>$C$61/1000</f>
        <v>2.3E-2</v>
      </c>
      <c r="AG59" s="333" t="s">
        <v>2</v>
      </c>
      <c r="AH59" s="334">
        <f>$G$61/1000</f>
        <v>0.158</v>
      </c>
      <c r="AI59" s="332">
        <f>$C$61/1000</f>
        <v>2.3E-2</v>
      </c>
      <c r="AJ59" s="333" t="s">
        <v>2</v>
      </c>
      <c r="AK59" s="334">
        <f>$G$61/1000</f>
        <v>0.158</v>
      </c>
      <c r="AL59" s="332">
        <f>$C$61/1000</f>
        <v>2.3E-2</v>
      </c>
      <c r="AM59" s="333" t="s">
        <v>2</v>
      </c>
      <c r="AN59" s="334">
        <f>$G$61/1000</f>
        <v>0.158</v>
      </c>
      <c r="AO59" s="332">
        <f>$C$61/1000</f>
        <v>2.3E-2</v>
      </c>
      <c r="AP59" s="333" t="s">
        <v>2</v>
      </c>
      <c r="AQ59" s="334">
        <f>$G$61/1000</f>
        <v>0.158</v>
      </c>
      <c r="AR59" s="284"/>
      <c r="AS59" s="231"/>
      <c r="AT59" s="231"/>
      <c r="AU59" s="231"/>
      <c r="AV59" s="231"/>
      <c r="AW59" s="231"/>
      <c r="AX59" s="231"/>
      <c r="AY59" s="231"/>
      <c r="AZ59" s="231"/>
      <c r="BA59" s="231"/>
      <c r="BB59" s="231"/>
      <c r="BC59" s="231"/>
      <c r="BD59" s="231"/>
      <c r="BE59" s="231"/>
      <c r="BF59" s="231"/>
      <c r="BG59" s="231"/>
      <c r="BH59" s="231"/>
      <c r="BI59" s="231"/>
      <c r="BJ59" s="231"/>
      <c r="BK59" s="231"/>
      <c r="BL59" s="231"/>
      <c r="BM59" s="231"/>
      <c r="BN59" s="231"/>
      <c r="BO59" s="231"/>
      <c r="BP59" s="231"/>
      <c r="BQ59" s="231"/>
    </row>
    <row r="60" spans="1:69" s="230" customFormat="1" ht="16.5" customHeight="1" thickBot="1" x14ac:dyDescent="0.3">
      <c r="A60" s="2062"/>
      <c r="B60" s="335" t="s">
        <v>23</v>
      </c>
      <c r="C60" s="336"/>
      <c r="D60" s="336" t="s">
        <v>24</v>
      </c>
      <c r="E60" s="336"/>
      <c r="F60" s="336"/>
      <c r="G60" s="337"/>
      <c r="H60" s="338">
        <f>(((I7^2+J7^2)*$C$62/1000)+((I8^2+J8^2)*$G$62/1000)+((I9^2+J9^2)*$J$62/1000))/($C$7*$C$7)</f>
        <v>6.6835342710271861E-2</v>
      </c>
      <c r="I60" s="339" t="s">
        <v>2</v>
      </c>
      <c r="J60" s="340">
        <f>(((I7^2+J7^2)*$M$62)+((I8^2+J8^2)*$P$62)+((I9^2+J9^2)*S62))/(100*$C$7)</f>
        <v>0.94988590993948974</v>
      </c>
      <c r="K60" s="338">
        <f>(((L7^2+M7^2)*$C$62/1000)+((L8^2+M8^2)*$G$62/1000)+((L9^2+M9^2)*$J$62/1000))/($C$7*$C$7)</f>
        <v>6.5039566327657811E-2</v>
      </c>
      <c r="L60" s="339" t="s">
        <v>2</v>
      </c>
      <c r="M60" s="340">
        <f>(((L7^2+M7^2)*$M$62)+((L8^2+M8^2)*$P$62)+((L9^2+M9^2)*V62))/(100*$C$7)</f>
        <v>0.63176835564062483</v>
      </c>
      <c r="N60" s="338">
        <f>(((O7^2+P7^2)*$C$62/1000)+((O8^2+P8^2)*$G$62/1000)+((O9^2+P9^2)*$J$62/1000))/($C$7*$C$7)</f>
        <v>6.3693579277189064E-2</v>
      </c>
      <c r="O60" s="339" t="s">
        <v>2</v>
      </c>
      <c r="P60" s="340">
        <f>(((O7^2+P7^2)*$M$62)+((O8^2+P8^2)*$P$62)+((O9^2+P9^2)*Y62))/(100*$C$7)</f>
        <v>0.62013554590312492</v>
      </c>
      <c r="Q60" s="338">
        <f>(((R7^2+S7^2)*$C$62/1000)+((R8^2+S8^2)*$G$62/1000)+((R9^2+S9^2)*$J$62/1000))/($C$7*$C$7)</f>
        <v>6.2426121266432037E-2</v>
      </c>
      <c r="R60" s="339" t="s">
        <v>2</v>
      </c>
      <c r="S60" s="340">
        <f>(((R7^2+S7^2)*$M$62)+((R8^2+S8^2)*$P$62)+((R9^2+S9^2)*AB62))/(100*$C$7)</f>
        <v>0.60504751924531253</v>
      </c>
      <c r="T60" s="338">
        <f>(((U7^2+V7^2)*$C$62/1000)+((U8^2+V8^2)*$G$62/1000)+((U9^2+V9^2)*$J$62/1000))/($C$7*$C$7)</f>
        <v>6.3451478486771878E-2</v>
      </c>
      <c r="U60" s="339" t="s">
        <v>2</v>
      </c>
      <c r="V60" s="340">
        <f>(((U7^2+V7^2)*$M$62)+((U8^2+V8^2)*$P$62)+((U9^2+V9^2)*AE62))/(100*$C$7)</f>
        <v>0.61752244925000011</v>
      </c>
      <c r="W60" s="338">
        <f>(((X7^2+Y7^2)*$C$62/1000)+((X8^2+Y8^2)*$G$62/1000)+((X9^2+Y9^2)*$J$62/1000))/($C$7*$C$7)</f>
        <v>6.5766920864392203E-2</v>
      </c>
      <c r="X60" s="339" t="s">
        <v>2</v>
      </c>
      <c r="Y60" s="340">
        <f>(((X7^2+Y7^2)*$M$62)+((X8^2+Y8^2)*$P$62)+((X9^2+Y9^2)*AH62))/(100*$C$7)</f>
        <v>0.63182387176562516</v>
      </c>
      <c r="Z60" s="338">
        <f>(((AA7^2+AB7^2)*$C$62/1000)+((AA8^2+AB8^2)*$G$62/1000)+((AA9^2+AB9^2)*$J$62/1000))/($C$7*$C$7)</f>
        <v>7.1989936944687485E-2</v>
      </c>
      <c r="AA60" s="339" t="s">
        <v>2</v>
      </c>
      <c r="AB60" s="340">
        <f>(((AA7^2+AB7^2)*$M$62)+((AA8^2+AB8^2)*$P$62)+((AA9^2+AB9^2)*AK62))/(100*$C$7)</f>
        <v>0.70006421590000001</v>
      </c>
      <c r="AC60" s="338">
        <f>(((AD7^2+AE7^2)*$C$62/1000)+((AD8^2+AE8^2)*$G$62/1000)+((AD9^2+AE9^2)*$J$62/1000))/($C$7*$C$7)</f>
        <v>7.9909605609619516E-2</v>
      </c>
      <c r="AD60" s="339" t="s">
        <v>2</v>
      </c>
      <c r="AE60" s="340">
        <f>(((AD7^2+AE7^2)*$M$62)+((AD8^2+AE8^2)*$P$62)+((AD9^2+AE9^2)*AN62))/(100*$C$7)</f>
        <v>0.77021911517031239</v>
      </c>
      <c r="AF60" s="338">
        <f>(((AG7^2+AH7^2)*$C$62/1000)+((AG8^2+AH8^2)*$G$62/1000)+((AG9^2+AH9^2)*$J$62/1000))/($C$7*$C$7)</f>
        <v>8.092074732287266E-2</v>
      </c>
      <c r="AG60" s="339" t="s">
        <v>2</v>
      </c>
      <c r="AH60" s="340">
        <f>(((AG7^2+AH7^2)*$M$62)+((AG8^2+AH8^2)*$P$62)+((AG9^2+AH9^2)*AQ62))/(100*$C$7)</f>
        <v>0.7828588737265626</v>
      </c>
      <c r="AI60" s="338">
        <f>(((AJ7^2+AK7^2)*$C$62/1000)+((AJ8^2+AK8^2)*$G$62/1000)+((AJ9^2+AK9^2)*$J$62/1000))/($C$7*$C$7)</f>
        <v>7.9584959777896896E-2</v>
      </c>
      <c r="AJ60" s="339" t="s">
        <v>2</v>
      </c>
      <c r="AK60" s="340">
        <f>(((AJ7^2+AK7^2)*$M$62)+((AJ8^2+AK8^2)*$P$62)+((AJ9^2+AK9^2)*AT62))/(100*$C$7)</f>
        <v>0.76208191565625005</v>
      </c>
      <c r="AL60" s="338">
        <f>(((AM7^2+AN7^2)*$C$62/1000)+((AM8^2+AN8^2)*$G$62/1000)+((AM9^2+AN9^2)*$J$62/1000))/($C$7*$C$7)</f>
        <v>7.6802026616967195E-2</v>
      </c>
      <c r="AM60" s="339" t="s">
        <v>2</v>
      </c>
      <c r="AN60" s="340">
        <f>(((AM7^2+AN7^2)*$M$62)+((AM8^2+AN8^2)*$P$62)+((AM9^2+AN9^2)*AW62))/(100*$C$7)</f>
        <v>0.72841057194062497</v>
      </c>
      <c r="AO60" s="338">
        <f>(((AP7^2+AQ7^2)*$C$62/1000)+((AP8^2+AQ8^2)*$G$62/1000)+((AP9^2+AQ9^2)*$J$62/1000))/($C$7*$C$7)</f>
        <v>7.4448600339119528E-2</v>
      </c>
      <c r="AP60" s="339" t="s">
        <v>2</v>
      </c>
      <c r="AQ60" s="340">
        <f>(((AP7^2+AQ7^2)*$M$62)+((AP8^2+AQ8^2)*$P$62)+((AP9^2+AQ9^2)*AZ62))/(100*$C$7)</f>
        <v>0.71524640415156238</v>
      </c>
      <c r="AR60" s="284"/>
      <c r="AS60" s="231"/>
      <c r="AT60" s="231"/>
      <c r="AU60" s="231"/>
      <c r="AV60" s="231"/>
      <c r="AW60" s="231"/>
      <c r="AX60" s="231"/>
      <c r="AY60" s="231"/>
      <c r="AZ60" s="231"/>
      <c r="BA60" s="231"/>
      <c r="BB60" s="231"/>
      <c r="BC60" s="231"/>
      <c r="BD60" s="231"/>
      <c r="BE60" s="231"/>
      <c r="BF60" s="231"/>
      <c r="BG60" s="231"/>
      <c r="BH60" s="231"/>
      <c r="BI60" s="231"/>
      <c r="BJ60" s="231"/>
      <c r="BK60" s="231"/>
      <c r="BL60" s="231"/>
      <c r="BM60" s="231"/>
      <c r="BN60" s="231"/>
      <c r="BO60" s="231"/>
      <c r="BP60" s="231"/>
      <c r="BQ60" s="231"/>
    </row>
    <row r="61" spans="1:69" s="230" customFormat="1" ht="16.5" customHeight="1" x14ac:dyDescent="0.25">
      <c r="A61" s="2062"/>
      <c r="B61" s="341" t="s">
        <v>105</v>
      </c>
      <c r="C61" s="342">
        <v>23</v>
      </c>
      <c r="D61" s="343"/>
      <c r="E61" s="2121" t="s">
        <v>106</v>
      </c>
      <c r="F61" s="2121"/>
      <c r="G61" s="461">
        <v>158</v>
      </c>
      <c r="H61" s="345"/>
      <c r="I61" s="346"/>
      <c r="J61" s="347"/>
      <c r="K61" s="462"/>
      <c r="L61" s="463"/>
      <c r="M61" s="464"/>
      <c r="N61" s="462"/>
      <c r="O61" s="463"/>
      <c r="P61" s="464"/>
      <c r="Q61" s="462"/>
      <c r="R61" s="463"/>
      <c r="S61" s="464"/>
      <c r="T61" s="2092"/>
      <c r="U61" s="2111"/>
      <c r="V61" s="2093"/>
      <c r="W61" s="2092"/>
      <c r="X61" s="2111"/>
      <c r="Y61" s="2093"/>
      <c r="Z61" s="2092"/>
      <c r="AA61" s="2111"/>
      <c r="AB61" s="2093"/>
      <c r="AC61" s="2092"/>
      <c r="AD61" s="2111"/>
      <c r="AE61" s="2093"/>
      <c r="AF61" s="2092"/>
      <c r="AG61" s="2111"/>
      <c r="AH61" s="2093"/>
      <c r="AI61" s="2092"/>
      <c r="AJ61" s="2111"/>
      <c r="AK61" s="2093"/>
      <c r="AL61" s="2092"/>
      <c r="AM61" s="2111"/>
      <c r="AN61" s="2093"/>
      <c r="AO61" s="2092"/>
      <c r="AP61" s="2111"/>
      <c r="AQ61" s="2093"/>
      <c r="AS61" s="231"/>
      <c r="AT61" s="231"/>
      <c r="AU61" s="231"/>
      <c r="AV61" s="231"/>
      <c r="AW61" s="231"/>
      <c r="AX61" s="231"/>
      <c r="AY61" s="231"/>
      <c r="AZ61" s="231"/>
      <c r="BA61" s="231"/>
      <c r="BB61" s="231"/>
      <c r="BC61" s="231"/>
      <c r="BD61" s="231"/>
      <c r="BE61" s="231"/>
      <c r="BF61" s="231"/>
      <c r="BG61" s="231"/>
      <c r="BH61" s="231"/>
      <c r="BI61" s="231"/>
      <c r="BJ61" s="231"/>
      <c r="BK61" s="231"/>
      <c r="BL61" s="231"/>
      <c r="BM61" s="231"/>
      <c r="BN61" s="231"/>
      <c r="BO61" s="231"/>
      <c r="BP61" s="231"/>
      <c r="BQ61" s="231"/>
    </row>
    <row r="62" spans="1:69" s="230" customFormat="1" ht="16.5" customHeight="1" thickBot="1" x14ac:dyDescent="0.3">
      <c r="A62" s="2062"/>
      <c r="B62" s="350" t="s">
        <v>59</v>
      </c>
      <c r="C62" s="261">
        <v>50</v>
      </c>
      <c r="D62" s="263"/>
      <c r="E62" s="348"/>
      <c r="F62" s="348" t="s">
        <v>58</v>
      </c>
      <c r="G62" s="349">
        <v>50</v>
      </c>
      <c r="H62" s="2122" t="s">
        <v>57</v>
      </c>
      <c r="I62" s="2123"/>
      <c r="J62" s="351">
        <v>150</v>
      </c>
      <c r="K62" s="2122" t="s">
        <v>53</v>
      </c>
      <c r="L62" s="2123"/>
      <c r="M62" s="351">
        <v>10.5</v>
      </c>
      <c r="N62" s="2122" t="s">
        <v>54</v>
      </c>
      <c r="O62" s="2123"/>
      <c r="P62" s="351">
        <v>17</v>
      </c>
      <c r="Q62" s="2122" t="s">
        <v>56</v>
      </c>
      <c r="R62" s="2123"/>
      <c r="S62" s="351">
        <v>6</v>
      </c>
      <c r="T62" s="2094"/>
      <c r="U62" s="2112"/>
      <c r="V62" s="2095"/>
      <c r="W62" s="2094"/>
      <c r="X62" s="2112"/>
      <c r="Y62" s="2095"/>
      <c r="Z62" s="2094"/>
      <c r="AA62" s="2112"/>
      <c r="AB62" s="2095"/>
      <c r="AC62" s="2094"/>
      <c r="AD62" s="2112"/>
      <c r="AE62" s="2095"/>
      <c r="AF62" s="2094"/>
      <c r="AG62" s="2112"/>
      <c r="AH62" s="2095"/>
      <c r="AI62" s="2094"/>
      <c r="AJ62" s="2112"/>
      <c r="AK62" s="2095"/>
      <c r="AL62" s="2094"/>
      <c r="AM62" s="2112"/>
      <c r="AN62" s="2095"/>
      <c r="AO62" s="2094"/>
      <c r="AP62" s="2112"/>
      <c r="AQ62" s="2095"/>
      <c r="AS62" s="231"/>
      <c r="AT62" s="231"/>
      <c r="AU62" s="231"/>
      <c r="AV62" s="231"/>
      <c r="AW62" s="231"/>
      <c r="AX62" s="231"/>
      <c r="AY62" s="231"/>
      <c r="AZ62" s="231"/>
      <c r="BA62" s="231"/>
      <c r="BB62" s="231"/>
      <c r="BC62" s="231"/>
      <c r="BD62" s="231"/>
      <c r="BE62" s="231"/>
      <c r="BF62" s="231"/>
      <c r="BG62" s="231"/>
      <c r="BH62" s="231"/>
      <c r="BI62" s="231"/>
      <c r="BJ62" s="231"/>
      <c r="BK62" s="231"/>
      <c r="BL62" s="231"/>
      <c r="BM62" s="231"/>
      <c r="BN62" s="231"/>
      <c r="BO62" s="231"/>
      <c r="BP62" s="231"/>
      <c r="BQ62" s="231"/>
    </row>
    <row r="63" spans="1:69" s="230" customFormat="1" ht="16.5" customHeight="1" thickBot="1" x14ac:dyDescent="0.3">
      <c r="A63" s="2063"/>
      <c r="B63" s="2124" t="s">
        <v>29</v>
      </c>
      <c r="C63" s="2125"/>
      <c r="D63" s="2125"/>
      <c r="E63" s="2125"/>
      <c r="F63" s="2125"/>
      <c r="G63" s="2126"/>
      <c r="H63" s="352">
        <f>H59+H60+I8+I9</f>
        <v>9.7715273427102716</v>
      </c>
      <c r="I63" s="353" t="s">
        <v>2</v>
      </c>
      <c r="J63" s="354">
        <f>J59+J60+J8+J9</f>
        <v>2.6140859099394902</v>
      </c>
      <c r="K63" s="352">
        <f>K59+K60+L8+L9</f>
        <v>9.6681335663276577</v>
      </c>
      <c r="L63" s="353" t="s">
        <v>2</v>
      </c>
      <c r="M63" s="354">
        <f>M59+M60+M8+M9</f>
        <v>2.3178183556406249</v>
      </c>
      <c r="N63" s="352">
        <f>N59+N60+O8+O9</f>
        <v>9.5746875792771888</v>
      </c>
      <c r="O63" s="353" t="s">
        <v>2</v>
      </c>
      <c r="P63" s="354">
        <f>P59+P60+P8+P9</f>
        <v>2.288485545903125</v>
      </c>
      <c r="Q63" s="352">
        <f>Q59+Q60+R8+R9</f>
        <v>9.4629881212664344</v>
      </c>
      <c r="R63" s="353" t="s">
        <v>2</v>
      </c>
      <c r="S63" s="354">
        <f>S59+S60+S8+S9</f>
        <v>2.2636475192453123</v>
      </c>
      <c r="T63" s="352">
        <f>T59+T60+U8+U9</f>
        <v>9.5629194784867728</v>
      </c>
      <c r="U63" s="353" t="s">
        <v>2</v>
      </c>
      <c r="V63" s="354">
        <f>V59+V60+V8+V9</f>
        <v>2.2683224492500003</v>
      </c>
      <c r="W63" s="352">
        <f>W59+W60+X8+X9</f>
        <v>9.6864529208643937</v>
      </c>
      <c r="X63" s="353" t="s">
        <v>2</v>
      </c>
      <c r="Y63" s="354">
        <f>Y59+Y60+Y8+Y9</f>
        <v>2.2690738717656251</v>
      </c>
      <c r="Z63" s="352">
        <f>Z59+Z60+AA8+AA9</f>
        <v>10.185229936944687</v>
      </c>
      <c r="AA63" s="353" t="s">
        <v>2</v>
      </c>
      <c r="AB63" s="354">
        <f>AB59+AB60+AB8+AB9</f>
        <v>2.3814642158999999</v>
      </c>
      <c r="AC63" s="352">
        <f>AC59+AC60+AD8+AD9</f>
        <v>10.705831605609619</v>
      </c>
      <c r="AD63" s="353" t="s">
        <v>2</v>
      </c>
      <c r="AE63" s="354">
        <f>AE59+AE60+AE8+AE9</f>
        <v>2.4657191151703124</v>
      </c>
      <c r="AF63" s="352">
        <f>AF59+AF60+AG8+AG9</f>
        <v>10.787976747322872</v>
      </c>
      <c r="AG63" s="353" t="s">
        <v>2</v>
      </c>
      <c r="AH63" s="354">
        <f>AH59+AH60+AH8+AH9</f>
        <v>2.4559088737265626</v>
      </c>
      <c r="AI63" s="352">
        <f>AI59+AI60+AJ8+AJ9</f>
        <v>10.677972959777899</v>
      </c>
      <c r="AJ63" s="353" t="s">
        <v>2</v>
      </c>
      <c r="AK63" s="354">
        <f>AK59+AK60+AK8+AK9</f>
        <v>2.2716819156562504</v>
      </c>
      <c r="AL63" s="352">
        <f>AL59+AL60+AM8+AM9</f>
        <v>10.476484026616967</v>
      </c>
      <c r="AM63" s="353" t="s">
        <v>2</v>
      </c>
      <c r="AN63" s="354">
        <f>AN59+AN60+AN8+AN9</f>
        <v>2.117660571940625</v>
      </c>
      <c r="AO63" s="352">
        <f>AO59+AO60+AP8+AP9</f>
        <v>10.362556600339119</v>
      </c>
      <c r="AP63" s="353" t="s">
        <v>2</v>
      </c>
      <c r="AQ63" s="354">
        <f>AQ59+AQ60+AQ8+AQ9</f>
        <v>2.1240964041515626</v>
      </c>
      <c r="AS63" s="231"/>
      <c r="AT63" s="231"/>
      <c r="AU63" s="231"/>
      <c r="AV63" s="231"/>
      <c r="AW63" s="231"/>
      <c r="AX63" s="231"/>
      <c r="AY63" s="231"/>
      <c r="AZ63" s="231"/>
      <c r="BA63" s="231"/>
      <c r="BB63" s="231"/>
      <c r="BC63" s="231"/>
      <c r="BD63" s="231"/>
      <c r="BE63" s="231"/>
      <c r="BF63" s="231"/>
      <c r="BG63" s="231"/>
      <c r="BH63" s="231"/>
      <c r="BI63" s="231"/>
      <c r="BJ63" s="231"/>
      <c r="BK63" s="231"/>
      <c r="BL63" s="231"/>
      <c r="BM63" s="231"/>
      <c r="BN63" s="231"/>
      <c r="BO63" s="231"/>
      <c r="BP63" s="231"/>
      <c r="BQ63" s="231"/>
    </row>
    <row r="64" spans="1:69" s="230" customFormat="1" ht="16.5" customHeight="1" x14ac:dyDescent="0.25">
      <c r="A64" s="2061" t="s">
        <v>1</v>
      </c>
      <c r="B64" s="329" t="s">
        <v>22</v>
      </c>
      <c r="C64" s="330"/>
      <c r="D64" s="330" t="s">
        <v>45</v>
      </c>
      <c r="E64" s="330"/>
      <c r="F64" s="330"/>
      <c r="G64" s="330"/>
      <c r="H64" s="332">
        <f>$C$66/1000</f>
        <v>2.3E-2</v>
      </c>
      <c r="I64" s="333" t="s">
        <v>2</v>
      </c>
      <c r="J64" s="334">
        <f>$G$66/1000</f>
        <v>0.158</v>
      </c>
      <c r="K64" s="332">
        <f>$C$66/1000</f>
        <v>2.3E-2</v>
      </c>
      <c r="L64" s="333" t="s">
        <v>2</v>
      </c>
      <c r="M64" s="334">
        <f>$G$66/1000</f>
        <v>0.158</v>
      </c>
      <c r="N64" s="332">
        <f>$C$66/1000</f>
        <v>2.3E-2</v>
      </c>
      <c r="O64" s="333" t="s">
        <v>2</v>
      </c>
      <c r="P64" s="334">
        <f>$G$66/1000</f>
        <v>0.158</v>
      </c>
      <c r="Q64" s="332">
        <f>$C$66/1000</f>
        <v>2.3E-2</v>
      </c>
      <c r="R64" s="333" t="s">
        <v>2</v>
      </c>
      <c r="S64" s="334">
        <f>$G$66/1000</f>
        <v>0.158</v>
      </c>
      <c r="T64" s="332">
        <f>$C$66/1000</f>
        <v>2.3E-2</v>
      </c>
      <c r="U64" s="333" t="s">
        <v>2</v>
      </c>
      <c r="V64" s="334">
        <f>$G$66/1000</f>
        <v>0.158</v>
      </c>
      <c r="W64" s="332">
        <f>$C$66/1000</f>
        <v>2.3E-2</v>
      </c>
      <c r="X64" s="333" t="s">
        <v>2</v>
      </c>
      <c r="Y64" s="334">
        <f>$G$66/1000</f>
        <v>0.158</v>
      </c>
      <c r="Z64" s="332">
        <f>$C$66/1000</f>
        <v>2.3E-2</v>
      </c>
      <c r="AA64" s="333" t="s">
        <v>2</v>
      </c>
      <c r="AB64" s="334">
        <f>$G$66/1000</f>
        <v>0.158</v>
      </c>
      <c r="AC64" s="332">
        <f>$C$66/1000</f>
        <v>2.3E-2</v>
      </c>
      <c r="AD64" s="333" t="s">
        <v>2</v>
      </c>
      <c r="AE64" s="334">
        <f>$G$66/1000</f>
        <v>0.158</v>
      </c>
      <c r="AF64" s="332">
        <f>$C$66/1000</f>
        <v>2.3E-2</v>
      </c>
      <c r="AG64" s="333" t="s">
        <v>2</v>
      </c>
      <c r="AH64" s="334">
        <f>$G$66/1000</f>
        <v>0.158</v>
      </c>
      <c r="AI64" s="332">
        <f>$C$66/1000</f>
        <v>2.3E-2</v>
      </c>
      <c r="AJ64" s="333" t="s">
        <v>2</v>
      </c>
      <c r="AK64" s="334">
        <f>$G$66/1000</f>
        <v>0.158</v>
      </c>
      <c r="AL64" s="332">
        <f>$C$66/1000</f>
        <v>2.3E-2</v>
      </c>
      <c r="AM64" s="333" t="s">
        <v>2</v>
      </c>
      <c r="AN64" s="334">
        <f>$G$66/1000</f>
        <v>0.158</v>
      </c>
      <c r="AO64" s="332">
        <f>$C$66/1000</f>
        <v>2.3E-2</v>
      </c>
      <c r="AP64" s="333" t="s">
        <v>2</v>
      </c>
      <c r="AQ64" s="334">
        <f>$G$66/1000</f>
        <v>0.158</v>
      </c>
      <c r="AR64" s="284"/>
      <c r="AS64" s="231"/>
      <c r="AT64" s="231"/>
      <c r="AU64" s="231"/>
      <c r="AV64" s="231"/>
      <c r="AW64" s="231"/>
      <c r="AX64" s="231"/>
      <c r="AY64" s="231"/>
      <c r="AZ64" s="231"/>
      <c r="BA64" s="231"/>
      <c r="BB64" s="231"/>
      <c r="BC64" s="231"/>
      <c r="BD64" s="231"/>
      <c r="BE64" s="231"/>
      <c r="BF64" s="231"/>
      <c r="BG64" s="231"/>
      <c r="BH64" s="231"/>
      <c r="BI64" s="231"/>
      <c r="BJ64" s="231"/>
      <c r="BK64" s="231"/>
      <c r="BL64" s="231"/>
      <c r="BM64" s="231"/>
      <c r="BN64" s="231"/>
      <c r="BO64" s="231"/>
      <c r="BP64" s="231"/>
      <c r="BQ64" s="231"/>
    </row>
    <row r="65" spans="1:81" s="230" customFormat="1" ht="16.5" customHeight="1" thickBot="1" x14ac:dyDescent="0.3">
      <c r="A65" s="2062"/>
      <c r="B65" s="335" t="s">
        <v>23</v>
      </c>
      <c r="C65" s="336"/>
      <c r="D65" s="336" t="s">
        <v>24</v>
      </c>
      <c r="E65" s="336"/>
      <c r="F65" s="336"/>
      <c r="G65" s="355"/>
      <c r="H65" s="338">
        <f>(((I15^2+J15^2)*$C$67/1000)+((I16^2+J16^2)*$G$67/1000)+((I17^2+J17^2)*$J$67/1000))/($C$15*$C$15)</f>
        <v>7.0464571089072642E-2</v>
      </c>
      <c r="I65" s="339" t="s">
        <v>2</v>
      </c>
      <c r="J65" s="340">
        <f>(((I15^2+J15^2)*$M$67)+((I16^2+J16^2)*$P$67)+((I17^2+J17^2)*S67))/(100*$C$7)</f>
        <v>1.0862199535247523</v>
      </c>
      <c r="K65" s="338">
        <f>(((L15^2+M15^2)*$C$67/1000)+((L16^2+M16^2)*$G$67/1000)+((L17^2+M17^2)*$J$67/1000))/($C$15*$C$15)</f>
        <v>6.7423800160115649E-2</v>
      </c>
      <c r="L65" s="339" t="s">
        <v>2</v>
      </c>
      <c r="M65" s="340">
        <f>(((L15^2+M15^2)*$M$67)+((L16^2+M16^2)*$P$67)+((L17^2+M17^2)*V67))/(100*$C$7)</f>
        <v>0.75022432463124999</v>
      </c>
      <c r="N65" s="338">
        <f>(((O15^2+P15^2)*$C$67/1000)+((O16^2+P16^2)*$G$67/1000)+((O17^2+P17^2)*$J$67/1000))/($C$15*$C$15)</f>
        <v>6.6200298163639065E-2</v>
      </c>
      <c r="O65" s="339" t="s">
        <v>2</v>
      </c>
      <c r="P65" s="340">
        <f>(((O15^2+P15^2)*$M$67)+((O16^2+P16^2)*$P$67)+((O17^2+P17^2)*Y67))/(100*$C$7)</f>
        <v>0.73754860022812496</v>
      </c>
      <c r="Q65" s="338">
        <f>(((R15^2+S15^2)*$C$67/1000)+((R16^2+S16^2)*$G$67/1000)+((R17^2+S17^2)*$J$67/1000))/($C$15*$C$15)</f>
        <v>6.6400684944088281E-2</v>
      </c>
      <c r="R65" s="339" t="s">
        <v>2</v>
      </c>
      <c r="S65" s="340">
        <f>(((R15^2+S15^2)*$M$67)+((R16^2+S16^2)*$P$67)+((R17^2+S17^2)*AB67))/(100*$C$7)</f>
        <v>0.73822900645156242</v>
      </c>
      <c r="T65" s="338">
        <f>(((U15^2+V15^2)*$C$67/1000)+((U16^2+V16^2)*$G$67/1000)+((U17^2+V17^2)*$J$67/1000))/($C$15*$C$15)</f>
        <v>6.6809470818494532E-2</v>
      </c>
      <c r="U65" s="339" t="s">
        <v>2</v>
      </c>
      <c r="V65" s="340">
        <f>(((U15^2+V15^2)*$M$67)+((U16^2+V16^2)*$P$67)+((U17^2+V17^2)*AE67))/(100*$C$7)</f>
        <v>0.74622886046406256</v>
      </c>
      <c r="W65" s="338">
        <f>(((X15^2+Y15^2)*$C$67/1000)+((X16^2+Y16^2)*$G$67/1000)+((X17^2+Y17^2)*$J$67/1000))/($C$15*$C$15)</f>
        <v>7.0619194080039069E-2</v>
      </c>
      <c r="X65" s="339" t="s">
        <v>2</v>
      </c>
      <c r="Y65" s="340">
        <f>(((X15^2+Y15^2)*$M$67)+((X16^2+Y16^2)*$P$67)+((X17^2+Y17^2)*AH67))/(100*$C$7)</f>
        <v>0.78795157102812508</v>
      </c>
      <c r="Z65" s="338">
        <f>(((AA15^2+AB15^2)*$C$67/1000)+((AA16^2+AB16^2)*$G$67/1000)+((AA17^2+AB17^2)*$J$67/1000))/($C$15*$C$15)</f>
        <v>7.8232876928451586E-2</v>
      </c>
      <c r="AA65" s="339" t="s">
        <v>2</v>
      </c>
      <c r="AB65" s="340">
        <f>(((AA15^2+AB15^2)*$M$67)+((AA16^2+AB16^2)*$P$67)+((AA17^2+AB17^2)*AK67))/(100*$C$7)</f>
        <v>0.861038129853125</v>
      </c>
      <c r="AC65" s="338">
        <f>(((AD15^2+AE15^2)*$C$67/1000)+((AD16^2+AE16^2)*$G$67/1000)+((AD17^2+AE17^2)*$J$67/1000))/($C$15*$C$15)</f>
        <v>8.4134086188365625E-2</v>
      </c>
      <c r="AD65" s="339" t="s">
        <v>2</v>
      </c>
      <c r="AE65" s="340">
        <f>(((AD15^2+AE15^2)*$M$67)+((AD16^2+AE16^2)*$P$67)+((AD17^2+AE17^2)*AN67))/(100*$C$7)</f>
        <v>0.9291886064562499</v>
      </c>
      <c r="AF65" s="338">
        <f>(((AG15^2+AH15^2)*$C$67/1000)+((AG16^2+AH16^2)*$G$67/1000)+((AG17^2+AH17^2)*$J$67/1000))/($C$15*$C$15)</f>
        <v>8.0386490256888293E-2</v>
      </c>
      <c r="AG65" s="339" t="s">
        <v>2</v>
      </c>
      <c r="AH65" s="340">
        <f>(((AG15^2+AH15^2)*$M$67)+((AG16^2+AH16^2)*$P$67)+((AG17^2+AH17^2)*AQ67))/(100*$C$7)</f>
        <v>0.88824612142656267</v>
      </c>
      <c r="AI65" s="338">
        <f>(((AJ15^2+AK15^2)*$C$67/1000)+((AJ16^2+AK16^2)*$G$67/1000)+((AJ17^2+AK17^2)*$J$67/1000))/($C$15*$C$15)</f>
        <v>7.5743515152119523E-2</v>
      </c>
      <c r="AJ65" s="339" t="s">
        <v>2</v>
      </c>
      <c r="AK65" s="340">
        <f>(((AJ15^2+AK15^2)*$M$67)+((AJ16^2+AK16^2)*$P$67)+((AJ17^2+AK17^2)*AT67))/(100*$C$7)</f>
        <v>0.84122691641406266</v>
      </c>
      <c r="AL65" s="338">
        <f>(((AM15^2+AN15^2)*$C$67/1000)+((AM16^2+AN16^2)*$G$67/1000)+((AM17^2+AN17^2)*$J$67/1000))/($C$15*$C$15)</f>
        <v>7.4339131474325762E-2</v>
      </c>
      <c r="AM65" s="339" t="s">
        <v>2</v>
      </c>
      <c r="AN65" s="340">
        <f>(((AM15^2+AN15^2)*$M$67)+((AM16^2+AN16^2)*$P$67)+((AM17^2+AN17^2)*AW67))/(100*$C$7)</f>
        <v>0.82239750222656272</v>
      </c>
      <c r="AO65" s="338">
        <f>(((AP15^2+AQ15^2)*$C$67/1000)+((AP16^2+AQ16^2)*$G$67/1000)+((AP17^2+AQ17^2)*$J$67/1000))/($C$15*$C$15)</f>
        <v>7.4624785773056285E-2</v>
      </c>
      <c r="AP65" s="339" t="s">
        <v>2</v>
      </c>
      <c r="AQ65" s="340">
        <f>(((AP15^2+AQ15^2)*$M$67)+((AP16^2+AQ16^2)*$P$67)+((AP17^2+AQ17^2)*AZ67))/(100*$C$7)</f>
        <v>0.82206536781250028</v>
      </c>
      <c r="AR65" s="284"/>
      <c r="AS65" s="231"/>
      <c r="AT65" s="231"/>
      <c r="AU65" s="231"/>
      <c r="AV65" s="231"/>
      <c r="AW65" s="231"/>
      <c r="AX65" s="231"/>
      <c r="AY65" s="231"/>
      <c r="AZ65" s="231"/>
      <c r="BA65" s="231"/>
      <c r="BB65" s="231"/>
      <c r="BC65" s="231"/>
      <c r="BD65" s="231"/>
      <c r="BE65" s="231"/>
      <c r="BF65" s="231"/>
      <c r="BG65" s="231"/>
      <c r="BH65" s="231"/>
      <c r="BI65" s="231"/>
      <c r="BJ65" s="231"/>
      <c r="BK65" s="231"/>
      <c r="BL65" s="231"/>
      <c r="BM65" s="231"/>
      <c r="BN65" s="231"/>
      <c r="BO65" s="231"/>
      <c r="BP65" s="231"/>
      <c r="BQ65" s="231"/>
    </row>
    <row r="66" spans="1:81" s="230" customFormat="1" ht="16.5" customHeight="1" x14ac:dyDescent="0.25">
      <c r="A66" s="2062"/>
      <c r="B66" s="341" t="s">
        <v>105</v>
      </c>
      <c r="C66" s="342">
        <v>23</v>
      </c>
      <c r="D66" s="343"/>
      <c r="E66" s="2121" t="s">
        <v>106</v>
      </c>
      <c r="F66" s="2121"/>
      <c r="G66" s="461">
        <v>158</v>
      </c>
      <c r="H66" s="345"/>
      <c r="I66" s="346"/>
      <c r="J66" s="347"/>
      <c r="K66" s="462"/>
      <c r="L66" s="463"/>
      <c r="M66" s="464"/>
      <c r="N66" s="462"/>
      <c r="O66" s="463"/>
      <c r="P66" s="464"/>
      <c r="Q66" s="462"/>
      <c r="R66" s="463"/>
      <c r="S66" s="464"/>
      <c r="T66" s="2127"/>
      <c r="U66" s="2128"/>
      <c r="V66" s="2129"/>
      <c r="W66" s="2127"/>
      <c r="X66" s="2128"/>
      <c r="Y66" s="2129"/>
      <c r="Z66" s="2127"/>
      <c r="AA66" s="2128"/>
      <c r="AB66" s="2129"/>
      <c r="AC66" s="2127"/>
      <c r="AD66" s="2128"/>
      <c r="AE66" s="2129"/>
      <c r="AF66" s="2127"/>
      <c r="AG66" s="2128"/>
      <c r="AH66" s="2129"/>
      <c r="AI66" s="2127"/>
      <c r="AJ66" s="2128"/>
      <c r="AK66" s="2129"/>
      <c r="AL66" s="2127"/>
      <c r="AM66" s="2128"/>
      <c r="AN66" s="2129"/>
      <c r="AO66" s="2127"/>
      <c r="AP66" s="2128"/>
      <c r="AQ66" s="2129"/>
      <c r="AR66" s="284"/>
      <c r="AS66" s="231"/>
      <c r="AT66" s="231"/>
      <c r="AU66" s="231"/>
      <c r="AV66" s="231"/>
      <c r="AW66" s="231"/>
      <c r="AX66" s="231"/>
      <c r="AY66" s="231"/>
      <c r="AZ66" s="231"/>
      <c r="BA66" s="231"/>
      <c r="BB66" s="231"/>
      <c r="BC66" s="231"/>
      <c r="BD66" s="231"/>
      <c r="BE66" s="231"/>
      <c r="BF66" s="231"/>
      <c r="BG66" s="231"/>
      <c r="BH66" s="231"/>
      <c r="BI66" s="231"/>
      <c r="BJ66" s="231"/>
      <c r="BK66" s="231"/>
      <c r="BL66" s="231"/>
      <c r="BM66" s="231"/>
      <c r="BN66" s="231"/>
      <c r="BO66" s="231"/>
      <c r="BP66" s="231"/>
      <c r="BQ66" s="231"/>
    </row>
    <row r="67" spans="1:81" s="230" customFormat="1" ht="16.5" customHeight="1" thickBot="1" x14ac:dyDescent="0.3">
      <c r="A67" s="2062"/>
      <c r="B67" s="350" t="s">
        <v>59</v>
      </c>
      <c r="C67" s="261">
        <v>50</v>
      </c>
      <c r="D67" s="263"/>
      <c r="E67" s="348"/>
      <c r="F67" s="348" t="s">
        <v>58</v>
      </c>
      <c r="G67" s="349">
        <v>50</v>
      </c>
      <c r="H67" s="2122" t="s">
        <v>57</v>
      </c>
      <c r="I67" s="2123"/>
      <c r="J67" s="351">
        <v>150</v>
      </c>
      <c r="K67" s="2122" t="s">
        <v>53</v>
      </c>
      <c r="L67" s="2123"/>
      <c r="M67" s="351">
        <v>10.5</v>
      </c>
      <c r="N67" s="2122" t="s">
        <v>54</v>
      </c>
      <c r="O67" s="2123"/>
      <c r="P67" s="351">
        <v>17</v>
      </c>
      <c r="Q67" s="2122" t="s">
        <v>56</v>
      </c>
      <c r="R67" s="2123"/>
      <c r="S67" s="351">
        <v>6</v>
      </c>
      <c r="T67" s="2130"/>
      <c r="U67" s="2131"/>
      <c r="V67" s="2132"/>
      <c r="W67" s="2130"/>
      <c r="X67" s="2131"/>
      <c r="Y67" s="2132"/>
      <c r="Z67" s="2130"/>
      <c r="AA67" s="2131"/>
      <c r="AB67" s="2132"/>
      <c r="AC67" s="2130"/>
      <c r="AD67" s="2131"/>
      <c r="AE67" s="2132"/>
      <c r="AF67" s="2130"/>
      <c r="AG67" s="2131"/>
      <c r="AH67" s="2132"/>
      <c r="AI67" s="2130"/>
      <c r="AJ67" s="2131"/>
      <c r="AK67" s="2132"/>
      <c r="AL67" s="2130"/>
      <c r="AM67" s="2131"/>
      <c r="AN67" s="2132"/>
      <c r="AO67" s="2130"/>
      <c r="AP67" s="2131"/>
      <c r="AQ67" s="2132"/>
      <c r="AS67" s="231"/>
      <c r="AT67" s="231"/>
      <c r="AU67" s="231"/>
      <c r="AV67" s="231"/>
      <c r="AW67" s="231"/>
      <c r="AX67" s="231"/>
      <c r="AY67" s="231"/>
      <c r="AZ67" s="231"/>
      <c r="BA67" s="231"/>
      <c r="BB67" s="231"/>
      <c r="BC67" s="231"/>
      <c r="BD67" s="231"/>
      <c r="BE67" s="231"/>
      <c r="BF67" s="231"/>
      <c r="BG67" s="231"/>
      <c r="BH67" s="231"/>
      <c r="BI67" s="231"/>
      <c r="BJ67" s="231"/>
      <c r="BK67" s="231"/>
      <c r="BL67" s="231"/>
      <c r="BM67" s="231"/>
      <c r="BN67" s="231"/>
      <c r="BO67" s="231"/>
      <c r="BP67" s="231"/>
      <c r="BQ67" s="231"/>
    </row>
    <row r="68" spans="1:81" s="363" customFormat="1" ht="16.5" customHeight="1" thickBot="1" x14ac:dyDescent="0.3">
      <c r="A68" s="2063"/>
      <c r="B68" s="2124" t="s">
        <v>29</v>
      </c>
      <c r="C68" s="2125"/>
      <c r="D68" s="2125"/>
      <c r="E68" s="2125"/>
      <c r="F68" s="2125"/>
      <c r="G68" s="2126"/>
      <c r="H68" s="360">
        <f>H64+H65+I16+I17</f>
        <v>10.662542571089071</v>
      </c>
      <c r="I68" s="361" t="s">
        <v>2</v>
      </c>
      <c r="J68" s="362">
        <f>J64+J65+J16+J17</f>
        <v>2.716319953524752</v>
      </c>
      <c r="K68" s="360">
        <f>K64+K65+L16+L17</f>
        <v>10.447231800160116</v>
      </c>
      <c r="L68" s="361" t="s">
        <v>2</v>
      </c>
      <c r="M68" s="362">
        <f>M64+M65+M16+M17</f>
        <v>2.3629243246312504</v>
      </c>
      <c r="N68" s="360">
        <f>N64+N65+O16+O17</f>
        <v>10.352362298163641</v>
      </c>
      <c r="O68" s="361" t="s">
        <v>2</v>
      </c>
      <c r="P68" s="362">
        <f>P64+P65+P16+P17</f>
        <v>2.3432986002281249</v>
      </c>
      <c r="Q68" s="360">
        <f>Q64+Q65+R16+R17</f>
        <v>10.370888684944088</v>
      </c>
      <c r="R68" s="361" t="s">
        <v>2</v>
      </c>
      <c r="S68" s="362">
        <f>S64+S65+S16+S17</f>
        <v>2.3293790064515623</v>
      </c>
      <c r="T68" s="360">
        <f>T64+T65+U16+U17</f>
        <v>10.416767470818494</v>
      </c>
      <c r="U68" s="361" t="s">
        <v>2</v>
      </c>
      <c r="V68" s="362">
        <f>V64+V65+V16+V17</f>
        <v>2.3246288604640624</v>
      </c>
      <c r="W68" s="360">
        <f>W64+W65+X16+X17</f>
        <v>10.70580919408004</v>
      </c>
      <c r="X68" s="361" t="s">
        <v>2</v>
      </c>
      <c r="Y68" s="362">
        <f>Y64+Y65+Y16+Y17</f>
        <v>2.406401571028125</v>
      </c>
      <c r="Z68" s="360">
        <f>Z64+Z65+AA16+AA17</f>
        <v>11.211114876928454</v>
      </c>
      <c r="AA68" s="361" t="s">
        <v>2</v>
      </c>
      <c r="AB68" s="362">
        <f>AB64+AB65+AB16+AB17</f>
        <v>2.520088129853125</v>
      </c>
      <c r="AC68" s="360">
        <f>AC64+AC65+AD16+AD17</f>
        <v>11.645122086188366</v>
      </c>
      <c r="AD68" s="361" t="s">
        <v>2</v>
      </c>
      <c r="AE68" s="362">
        <f>AE64+AE65+AE16+AE17</f>
        <v>2.5815886064562501</v>
      </c>
      <c r="AF68" s="360">
        <f>AF64+AF65+AG16+AG17</f>
        <v>11.387720490256889</v>
      </c>
      <c r="AG68" s="361" t="s">
        <v>2</v>
      </c>
      <c r="AH68" s="362">
        <f>AH64+AH65+AH16+AH17</f>
        <v>2.5172461214265622</v>
      </c>
      <c r="AI68" s="360">
        <f>AI64+AI65+AJ16+AJ17</f>
        <v>11.088815515152119</v>
      </c>
      <c r="AJ68" s="361" t="s">
        <v>2</v>
      </c>
      <c r="AK68" s="362">
        <f>AK64+AK65+AK16+AK17</f>
        <v>2.3435769164140625</v>
      </c>
      <c r="AL68" s="360">
        <f>AL64+AL65+AM16+AM17</f>
        <v>10.979235131474324</v>
      </c>
      <c r="AM68" s="361" t="s">
        <v>2</v>
      </c>
      <c r="AN68" s="362">
        <f>AN64+AN65+AN16+AN17</f>
        <v>2.298047502226563</v>
      </c>
      <c r="AO68" s="360">
        <f>AO64+AO65+AP16+AP17</f>
        <v>10.983828785773058</v>
      </c>
      <c r="AP68" s="361" t="s">
        <v>2</v>
      </c>
      <c r="AQ68" s="362">
        <f>AQ64+AQ65+AQ16+AQ17</f>
        <v>2.3021653678125</v>
      </c>
      <c r="AR68" s="465"/>
      <c r="AS68" s="466"/>
      <c r="AT68" s="466"/>
      <c r="AU68" s="466"/>
      <c r="AV68" s="466"/>
      <c r="AW68" s="466"/>
      <c r="AX68" s="466"/>
      <c r="AY68" s="466"/>
      <c r="AZ68" s="466"/>
      <c r="BA68" s="467"/>
      <c r="BB68" s="467"/>
      <c r="BC68" s="467"/>
      <c r="BD68" s="467"/>
      <c r="BE68" s="467"/>
      <c r="BF68" s="467"/>
      <c r="BG68" s="467"/>
      <c r="BH68" s="467"/>
      <c r="BI68" s="467"/>
      <c r="BJ68" s="467"/>
      <c r="BK68" s="467"/>
      <c r="BL68" s="467"/>
      <c r="BM68" s="467"/>
      <c r="BN68" s="467"/>
      <c r="BO68" s="467"/>
      <c r="BP68" s="467"/>
      <c r="BQ68" s="467"/>
      <c r="CC68" s="364"/>
    </row>
    <row r="69" spans="1:81" s="230" customFormat="1" ht="16.5" customHeight="1" x14ac:dyDescent="0.25">
      <c r="A69" s="2104" t="s">
        <v>20</v>
      </c>
      <c r="B69" s="2105"/>
      <c r="C69" s="2105"/>
      <c r="D69" s="2105"/>
      <c r="E69" s="2105"/>
      <c r="F69" s="2105"/>
      <c r="G69" s="2133"/>
      <c r="H69" s="365"/>
      <c r="I69" s="366"/>
      <c r="J69" s="347"/>
      <c r="K69" s="365"/>
      <c r="L69" s="366"/>
      <c r="M69" s="347"/>
      <c r="N69" s="365"/>
      <c r="O69" s="366"/>
      <c r="P69" s="347"/>
      <c r="Q69" s="365"/>
      <c r="R69" s="366"/>
      <c r="S69" s="347"/>
      <c r="T69" s="365"/>
      <c r="U69" s="366"/>
      <c r="V69" s="347"/>
      <c r="W69" s="365"/>
      <c r="X69" s="366"/>
      <c r="Y69" s="347"/>
      <c r="Z69" s="365"/>
      <c r="AA69" s="366"/>
      <c r="AB69" s="347"/>
      <c r="AC69" s="365"/>
      <c r="AD69" s="366"/>
      <c r="AE69" s="347"/>
      <c r="AF69" s="365"/>
      <c r="AG69" s="366"/>
      <c r="AH69" s="347"/>
      <c r="AI69" s="365"/>
      <c r="AJ69" s="366"/>
      <c r="AK69" s="347"/>
      <c r="AL69" s="365"/>
      <c r="AM69" s="366"/>
      <c r="AN69" s="347"/>
      <c r="AO69" s="365"/>
      <c r="AP69" s="366"/>
      <c r="AQ69" s="347"/>
      <c r="AS69" s="231"/>
      <c r="AT69" s="231"/>
      <c r="AU69" s="231"/>
      <c r="AV69" s="231"/>
      <c r="AW69" s="231"/>
      <c r="AX69" s="231"/>
      <c r="AY69" s="231"/>
      <c r="AZ69" s="231"/>
      <c r="BA69" s="231"/>
      <c r="BB69" s="231"/>
      <c r="BC69" s="231"/>
      <c r="BD69" s="231"/>
      <c r="BE69" s="231"/>
      <c r="BF69" s="231"/>
      <c r="BG69" s="231"/>
      <c r="BH69" s="231"/>
      <c r="BI69" s="231"/>
      <c r="BJ69" s="231"/>
      <c r="BK69" s="231"/>
      <c r="BL69" s="231"/>
      <c r="BM69" s="231"/>
      <c r="BN69" s="231"/>
      <c r="BO69" s="231"/>
      <c r="BP69" s="231"/>
      <c r="BQ69" s="231"/>
    </row>
    <row r="70" spans="1:81" s="230" customFormat="1" ht="16.5" customHeight="1" thickBot="1" x14ac:dyDescent="0.3">
      <c r="A70" s="367" t="s">
        <v>21</v>
      </c>
      <c r="B70" s="368"/>
      <c r="C70" s="369"/>
      <c r="D70" s="368"/>
      <c r="E70" s="263"/>
      <c r="F70" s="368" t="s">
        <v>25</v>
      </c>
      <c r="G70" s="262"/>
      <c r="H70" s="370">
        <f>SUM(H63,H68)</f>
        <v>20.434069913799341</v>
      </c>
      <c r="I70" s="371" t="s">
        <v>2</v>
      </c>
      <c r="J70" s="372">
        <f>SUM(J63,J68)</f>
        <v>5.3304058634642422</v>
      </c>
      <c r="K70" s="370">
        <f>SUM(K63,K68)</f>
        <v>20.115365366487772</v>
      </c>
      <c r="L70" s="371" t="s">
        <v>2</v>
      </c>
      <c r="M70" s="372">
        <f>SUM(M63,M68)</f>
        <v>4.6807426802718748</v>
      </c>
      <c r="N70" s="370">
        <f>SUM(N63,N68)</f>
        <v>19.92704987744083</v>
      </c>
      <c r="O70" s="371" t="s">
        <v>2</v>
      </c>
      <c r="P70" s="372">
        <f>SUM(P63,P68)</f>
        <v>4.6317841461312499</v>
      </c>
      <c r="Q70" s="370">
        <f>SUM(Q63,Q68)</f>
        <v>19.833876806210522</v>
      </c>
      <c r="R70" s="371" t="s">
        <v>2</v>
      </c>
      <c r="S70" s="372">
        <f>SUM(S63,S68)</f>
        <v>4.5930265256968745</v>
      </c>
      <c r="T70" s="370">
        <f>SUM(T63,T68)</f>
        <v>19.979686949305268</v>
      </c>
      <c r="U70" s="371" t="s">
        <v>2</v>
      </c>
      <c r="V70" s="372">
        <f>SUM(V63,V68)</f>
        <v>4.5929513097140626</v>
      </c>
      <c r="W70" s="370">
        <f>SUM(W63,W68)</f>
        <v>20.392262114944433</v>
      </c>
      <c r="X70" s="371" t="s">
        <v>2</v>
      </c>
      <c r="Y70" s="372">
        <f>SUM(Y63,Y68)</f>
        <v>4.6754754427937506</v>
      </c>
      <c r="Z70" s="370">
        <f>SUM(Z63,Z68)</f>
        <v>21.396344813873142</v>
      </c>
      <c r="AA70" s="371" t="s">
        <v>2</v>
      </c>
      <c r="AB70" s="372">
        <f>SUM(AB63,AB68)</f>
        <v>4.9015523457531245</v>
      </c>
      <c r="AC70" s="370">
        <f>SUM(AC63,AC68)</f>
        <v>22.350953691797983</v>
      </c>
      <c r="AD70" s="371" t="s">
        <v>2</v>
      </c>
      <c r="AE70" s="372">
        <f>SUM(AE63,AE68)</f>
        <v>5.0473077216265629</v>
      </c>
      <c r="AF70" s="370">
        <f>SUM(AF63,AF68)</f>
        <v>22.175697237579762</v>
      </c>
      <c r="AG70" s="371" t="s">
        <v>2</v>
      </c>
      <c r="AH70" s="372">
        <f>SUM(AH63,AH68)</f>
        <v>4.9731549951531253</v>
      </c>
      <c r="AI70" s="370">
        <f>SUM(AI63,AI68)</f>
        <v>21.766788474930017</v>
      </c>
      <c r="AJ70" s="371" t="s">
        <v>2</v>
      </c>
      <c r="AK70" s="372">
        <f>SUM(AK63,AK68)</f>
        <v>4.615258832070313</v>
      </c>
      <c r="AL70" s="370">
        <f>SUM(AL63,AL68)</f>
        <v>21.455719158091291</v>
      </c>
      <c r="AM70" s="371" t="s">
        <v>2</v>
      </c>
      <c r="AN70" s="372">
        <f>SUM(AN63,AN68)</f>
        <v>4.4157080741671884</v>
      </c>
      <c r="AO70" s="370">
        <f>SUM(AO63,AO68)</f>
        <v>21.346385386112175</v>
      </c>
      <c r="AP70" s="371" t="s">
        <v>2</v>
      </c>
      <c r="AQ70" s="372">
        <f>SUM(AQ63,AQ68)</f>
        <v>4.4262617719640627</v>
      </c>
      <c r="AS70" s="231"/>
      <c r="AT70" s="231"/>
      <c r="AU70" s="231"/>
      <c r="AV70" s="231"/>
      <c r="AW70" s="231"/>
      <c r="AX70" s="231"/>
      <c r="AY70" s="231"/>
      <c r="AZ70" s="231"/>
      <c r="BA70" s="231"/>
      <c r="BB70" s="231"/>
      <c r="BC70" s="231"/>
      <c r="BD70" s="231"/>
      <c r="BE70" s="231"/>
      <c r="BF70" s="231"/>
      <c r="BG70" s="231"/>
      <c r="BH70" s="231"/>
      <c r="BI70" s="231"/>
      <c r="BJ70" s="231"/>
      <c r="BK70" s="231"/>
      <c r="BL70" s="231"/>
      <c r="BM70" s="231"/>
      <c r="BN70" s="231"/>
      <c r="BO70" s="231"/>
      <c r="BP70" s="231"/>
      <c r="BQ70" s="231"/>
    </row>
    <row r="71" spans="1:81" s="230" customFormat="1" ht="16.5" customHeight="1" x14ac:dyDescent="0.25">
      <c r="A71" s="373" t="s">
        <v>107</v>
      </c>
      <c r="B71" s="363"/>
      <c r="C71" s="363"/>
      <c r="D71" s="363"/>
      <c r="E71" s="363"/>
      <c r="F71" s="363"/>
      <c r="G71" s="363"/>
      <c r="H71" s="363"/>
      <c r="I71" s="374">
        <f>J70/H70</f>
        <v>0.26085874649301083</v>
      </c>
      <c r="J71" s="363"/>
      <c r="K71" s="363"/>
      <c r="L71" s="374">
        <f>M70/K70</f>
        <v>0.23269488746498232</v>
      </c>
      <c r="M71" s="363"/>
      <c r="N71" s="363"/>
      <c r="O71" s="374">
        <f>P70/N70</f>
        <v>0.23243702277148592</v>
      </c>
      <c r="P71" s="363"/>
      <c r="Q71" s="363"/>
      <c r="R71" s="374">
        <f>S70/Q70</f>
        <v>0.23157482375098115</v>
      </c>
      <c r="S71" s="363"/>
      <c r="T71" s="363"/>
      <c r="U71" s="374">
        <f>V70/T70</f>
        <v>0.22988104475149287</v>
      </c>
      <c r="V71" s="363"/>
      <c r="W71" s="363"/>
      <c r="X71" s="374">
        <f>Y70/W70</f>
        <v>0.22927693928410897</v>
      </c>
      <c r="Y71" s="363"/>
      <c r="Z71" s="363"/>
      <c r="AA71" s="374">
        <f>AB70/Z70</f>
        <v>0.22908363032993442</v>
      </c>
      <c r="AB71" s="363"/>
      <c r="AC71" s="363"/>
      <c r="AD71" s="374">
        <f>AE70/AC70</f>
        <v>0.22582068717178488</v>
      </c>
      <c r="AE71" s="363"/>
      <c r="AF71" s="363"/>
      <c r="AG71" s="374">
        <f>AH70/AF70</f>
        <v>0.22426149409748578</v>
      </c>
      <c r="AH71" s="363"/>
      <c r="AI71" s="363"/>
      <c r="AJ71" s="374">
        <f>AK70/AI70</f>
        <v>0.21203214417165653</v>
      </c>
      <c r="AK71" s="363"/>
      <c r="AL71" s="363"/>
      <c r="AM71" s="374">
        <f>AN70/AL70</f>
        <v>0.20580564285126537</v>
      </c>
      <c r="AN71" s="363"/>
      <c r="AO71" s="363"/>
      <c r="AP71" s="374">
        <f>AQ70/AO70</f>
        <v>0.20735415818191688</v>
      </c>
      <c r="AQ71" s="363"/>
      <c r="AS71" s="231"/>
      <c r="AT71" s="231"/>
      <c r="AU71" s="231"/>
      <c r="AV71" s="231"/>
      <c r="AW71" s="231"/>
      <c r="AX71" s="231"/>
      <c r="AY71" s="231"/>
      <c r="AZ71" s="231"/>
      <c r="BA71" s="231"/>
      <c r="BB71" s="231"/>
      <c r="BC71" s="231"/>
      <c r="BD71" s="231"/>
      <c r="BE71" s="231"/>
      <c r="BF71" s="231"/>
      <c r="BG71" s="231"/>
      <c r="BH71" s="231"/>
      <c r="BI71" s="231"/>
      <c r="BJ71" s="231"/>
      <c r="BK71" s="231"/>
      <c r="BL71" s="231"/>
      <c r="BM71" s="231"/>
      <c r="BN71" s="231"/>
      <c r="BO71" s="231"/>
      <c r="BP71" s="231"/>
      <c r="BQ71" s="231"/>
    </row>
    <row r="72" spans="1:81" s="375" customFormat="1" ht="16.5" customHeight="1" x14ac:dyDescent="0.25">
      <c r="A72" s="373" t="s">
        <v>65</v>
      </c>
      <c r="B72" s="373"/>
      <c r="C72" s="373"/>
      <c r="D72" s="373"/>
      <c r="E72" s="373"/>
      <c r="F72" s="373"/>
      <c r="T72" s="376"/>
      <c r="U72" s="377"/>
      <c r="AR72" s="230"/>
      <c r="AS72" s="231"/>
      <c r="AT72" s="231"/>
      <c r="AU72" s="231"/>
      <c r="AV72" s="231"/>
      <c r="AW72" s="231"/>
      <c r="AX72" s="231"/>
      <c r="AY72" s="231"/>
      <c r="AZ72" s="231"/>
      <c r="BA72" s="379"/>
      <c r="BB72" s="379"/>
      <c r="BC72" s="379"/>
      <c r="BD72" s="379"/>
      <c r="BE72" s="379"/>
      <c r="BF72" s="379"/>
      <c r="BG72" s="379"/>
      <c r="BH72" s="379"/>
      <c r="BI72" s="379"/>
      <c r="BJ72" s="379"/>
      <c r="BK72" s="379"/>
      <c r="BL72" s="379"/>
      <c r="BM72" s="379"/>
      <c r="BN72" s="379"/>
      <c r="BO72" s="379"/>
      <c r="BP72" s="379"/>
      <c r="BQ72" s="379"/>
    </row>
    <row r="73" spans="1:81" s="375" customFormat="1" ht="16.5" customHeight="1" thickBot="1" x14ac:dyDescent="0.3">
      <c r="A73" s="373"/>
      <c r="B73" s="373"/>
      <c r="C73" s="373"/>
      <c r="D73" s="373"/>
      <c r="E73" s="373"/>
      <c r="F73" s="373"/>
      <c r="T73" s="376"/>
      <c r="U73" s="377"/>
      <c r="AR73" s="230"/>
      <c r="AS73" s="231"/>
      <c r="AT73" s="231"/>
      <c r="AU73" s="231"/>
      <c r="AV73" s="231"/>
      <c r="AW73" s="231"/>
      <c r="AX73" s="231"/>
      <c r="AY73" s="231"/>
      <c r="AZ73" s="231"/>
      <c r="BA73" s="379"/>
      <c r="BB73" s="379"/>
      <c r="BC73" s="379"/>
      <c r="BD73" s="379"/>
      <c r="BE73" s="379"/>
      <c r="BF73" s="379"/>
      <c r="BG73" s="379"/>
      <c r="BH73" s="379"/>
      <c r="BI73" s="379"/>
      <c r="BJ73" s="379"/>
      <c r="BK73" s="379"/>
      <c r="BL73" s="379"/>
      <c r="BM73" s="379"/>
      <c r="BN73" s="379"/>
      <c r="BO73" s="379"/>
      <c r="BP73" s="379"/>
      <c r="BQ73" s="379"/>
    </row>
    <row r="74" spans="1:81" s="378" customFormat="1" ht="17.25" thickBot="1" x14ac:dyDescent="0.3">
      <c r="A74" s="2037" t="s">
        <v>12</v>
      </c>
      <c r="B74" s="2038"/>
      <c r="C74" s="2038"/>
      <c r="D74" s="2038"/>
      <c r="E74" s="2038"/>
      <c r="F74" s="2038"/>
      <c r="G74" s="2039"/>
      <c r="H74" s="2040" t="s">
        <v>108</v>
      </c>
      <c r="I74" s="2041"/>
      <c r="J74" s="2042"/>
      <c r="K74" s="2040" t="s">
        <v>109</v>
      </c>
      <c r="L74" s="2041"/>
      <c r="M74" s="2042"/>
      <c r="N74" s="2040" t="s">
        <v>110</v>
      </c>
      <c r="O74" s="2041"/>
      <c r="P74" s="2042"/>
      <c r="Q74" s="2040" t="s">
        <v>111</v>
      </c>
      <c r="R74" s="2041"/>
      <c r="S74" s="2042"/>
      <c r="T74" s="2040" t="s">
        <v>112</v>
      </c>
      <c r="U74" s="2041"/>
      <c r="V74" s="2042"/>
      <c r="W74" s="2040" t="s">
        <v>113</v>
      </c>
      <c r="X74" s="2041"/>
      <c r="Y74" s="2042"/>
      <c r="Z74" s="2040" t="s">
        <v>114</v>
      </c>
      <c r="AA74" s="2041"/>
      <c r="AB74" s="2042"/>
      <c r="AC74" s="2040" t="s">
        <v>115</v>
      </c>
      <c r="AD74" s="2041"/>
      <c r="AE74" s="2042"/>
      <c r="AF74" s="2040" t="s">
        <v>116</v>
      </c>
      <c r="AG74" s="2041"/>
      <c r="AH74" s="2042"/>
      <c r="AI74" s="2040" t="s">
        <v>117</v>
      </c>
      <c r="AJ74" s="2041"/>
      <c r="AK74" s="2042"/>
      <c r="AL74" s="2040" t="s">
        <v>118</v>
      </c>
      <c r="AM74" s="2041"/>
      <c r="AN74" s="2042"/>
      <c r="AO74" s="2040" t="s">
        <v>119</v>
      </c>
      <c r="AP74" s="2041"/>
      <c r="AQ74" s="2042"/>
      <c r="AR74" s="468"/>
      <c r="AS74" s="469"/>
      <c r="AT74" s="470"/>
      <c r="AU74" s="470"/>
      <c r="AV74" s="469"/>
      <c r="AW74" s="470"/>
      <c r="AX74" s="470"/>
      <c r="AY74" s="469"/>
      <c r="AZ74" s="470"/>
      <c r="BA74" s="471"/>
      <c r="BB74" s="472"/>
      <c r="BC74" s="471"/>
      <c r="BD74" s="471"/>
      <c r="BE74" s="472"/>
      <c r="BF74" s="471"/>
      <c r="BG74" s="471"/>
      <c r="BH74" s="472"/>
      <c r="BI74" s="471"/>
      <c r="BJ74" s="471"/>
      <c r="BK74" s="472"/>
      <c r="BL74" s="471"/>
      <c r="BM74" s="471"/>
      <c r="BN74" s="472"/>
      <c r="BO74" s="471"/>
      <c r="BP74" s="471"/>
      <c r="BQ74" s="472"/>
      <c r="BT74" s="380"/>
      <c r="BW74" s="380"/>
      <c r="BZ74" s="380"/>
    </row>
    <row r="75" spans="1:81" s="378" customFormat="1" ht="16.5" customHeight="1" x14ac:dyDescent="0.25">
      <c r="A75" s="2043" t="s">
        <v>79</v>
      </c>
      <c r="B75" s="2044"/>
      <c r="C75" s="2047" t="s">
        <v>80</v>
      </c>
      <c r="D75" s="2049"/>
      <c r="E75" s="2050"/>
      <c r="F75" s="2050"/>
      <c r="G75" s="2051"/>
      <c r="H75" s="240" t="s">
        <v>4</v>
      </c>
      <c r="I75" s="241" t="s">
        <v>9</v>
      </c>
      <c r="J75" s="242" t="s">
        <v>10</v>
      </c>
      <c r="K75" s="240" t="s">
        <v>4</v>
      </c>
      <c r="L75" s="241" t="s">
        <v>9</v>
      </c>
      <c r="M75" s="242" t="s">
        <v>10</v>
      </c>
      <c r="N75" s="240" t="s">
        <v>4</v>
      </c>
      <c r="O75" s="241" t="s">
        <v>9</v>
      </c>
      <c r="P75" s="242" t="s">
        <v>10</v>
      </c>
      <c r="Q75" s="240" t="s">
        <v>4</v>
      </c>
      <c r="R75" s="241" t="s">
        <v>9</v>
      </c>
      <c r="S75" s="242" t="s">
        <v>10</v>
      </c>
      <c r="T75" s="240" t="s">
        <v>4</v>
      </c>
      <c r="U75" s="241" t="s">
        <v>9</v>
      </c>
      <c r="V75" s="242" t="s">
        <v>10</v>
      </c>
      <c r="W75" s="240" t="s">
        <v>4</v>
      </c>
      <c r="X75" s="241" t="s">
        <v>9</v>
      </c>
      <c r="Y75" s="242" t="s">
        <v>10</v>
      </c>
      <c r="Z75" s="240" t="s">
        <v>4</v>
      </c>
      <c r="AA75" s="241" t="s">
        <v>9</v>
      </c>
      <c r="AB75" s="242" t="s">
        <v>10</v>
      </c>
      <c r="AC75" s="240" t="s">
        <v>4</v>
      </c>
      <c r="AD75" s="241" t="s">
        <v>9</v>
      </c>
      <c r="AE75" s="242" t="s">
        <v>10</v>
      </c>
      <c r="AF75" s="240" t="s">
        <v>4</v>
      </c>
      <c r="AG75" s="241" t="s">
        <v>9</v>
      </c>
      <c r="AH75" s="242" t="s">
        <v>10</v>
      </c>
      <c r="AI75" s="240" t="s">
        <v>4</v>
      </c>
      <c r="AJ75" s="241" t="s">
        <v>9</v>
      </c>
      <c r="AK75" s="242" t="s">
        <v>10</v>
      </c>
      <c r="AL75" s="240" t="s">
        <v>4</v>
      </c>
      <c r="AM75" s="241" t="s">
        <v>9</v>
      </c>
      <c r="AN75" s="242" t="s">
        <v>10</v>
      </c>
      <c r="AO75" s="240" t="s">
        <v>4</v>
      </c>
      <c r="AP75" s="241" t="s">
        <v>9</v>
      </c>
      <c r="AQ75" s="242" t="s">
        <v>10</v>
      </c>
      <c r="AR75" s="468"/>
      <c r="AS75" s="470"/>
      <c r="AT75" s="470"/>
      <c r="AU75" s="470"/>
      <c r="AV75" s="470"/>
      <c r="AW75" s="470"/>
      <c r="AX75" s="470"/>
      <c r="AY75" s="470"/>
      <c r="AZ75" s="470"/>
      <c r="BA75" s="471"/>
      <c r="BB75" s="471"/>
      <c r="BC75" s="471"/>
      <c r="BD75" s="471"/>
      <c r="BE75" s="471"/>
      <c r="BF75" s="471"/>
      <c r="BG75" s="471"/>
      <c r="BH75" s="471"/>
      <c r="BI75" s="471"/>
      <c r="BJ75" s="471"/>
      <c r="BK75" s="471"/>
      <c r="BL75" s="471"/>
      <c r="BM75" s="471"/>
      <c r="BN75" s="471"/>
      <c r="BO75" s="471"/>
      <c r="BP75" s="471"/>
      <c r="BQ75" s="471"/>
    </row>
    <row r="76" spans="1:81" s="378" customFormat="1" ht="17.25" thickBot="1" x14ac:dyDescent="0.3">
      <c r="A76" s="2045"/>
      <c r="B76" s="2046"/>
      <c r="C76" s="2048"/>
      <c r="D76" s="2052"/>
      <c r="E76" s="2053"/>
      <c r="F76" s="2053"/>
      <c r="G76" s="2054"/>
      <c r="H76" s="243" t="s">
        <v>30</v>
      </c>
      <c r="I76" s="244" t="s">
        <v>31</v>
      </c>
      <c r="J76" s="245" t="s">
        <v>32</v>
      </c>
      <c r="K76" s="243" t="s">
        <v>30</v>
      </c>
      <c r="L76" s="244" t="s">
        <v>31</v>
      </c>
      <c r="M76" s="245" t="s">
        <v>32</v>
      </c>
      <c r="N76" s="243" t="s">
        <v>30</v>
      </c>
      <c r="O76" s="244" t="s">
        <v>31</v>
      </c>
      <c r="P76" s="245" t="s">
        <v>32</v>
      </c>
      <c r="Q76" s="243" t="s">
        <v>30</v>
      </c>
      <c r="R76" s="244" t="s">
        <v>31</v>
      </c>
      <c r="S76" s="245" t="s">
        <v>32</v>
      </c>
      <c r="T76" s="243" t="s">
        <v>30</v>
      </c>
      <c r="U76" s="244" t="s">
        <v>31</v>
      </c>
      <c r="V76" s="245" t="s">
        <v>32</v>
      </c>
      <c r="W76" s="243" t="s">
        <v>30</v>
      </c>
      <c r="X76" s="244" t="s">
        <v>31</v>
      </c>
      <c r="Y76" s="245" t="s">
        <v>32</v>
      </c>
      <c r="Z76" s="243" t="s">
        <v>30</v>
      </c>
      <c r="AA76" s="244" t="s">
        <v>31</v>
      </c>
      <c r="AB76" s="245" t="s">
        <v>32</v>
      </c>
      <c r="AC76" s="243" t="s">
        <v>30</v>
      </c>
      <c r="AD76" s="244" t="s">
        <v>31</v>
      </c>
      <c r="AE76" s="245" t="s">
        <v>32</v>
      </c>
      <c r="AF76" s="243" t="s">
        <v>30</v>
      </c>
      <c r="AG76" s="244" t="s">
        <v>31</v>
      </c>
      <c r="AH76" s="245" t="s">
        <v>32</v>
      </c>
      <c r="AI76" s="243" t="s">
        <v>30</v>
      </c>
      <c r="AJ76" s="244" t="s">
        <v>31</v>
      </c>
      <c r="AK76" s="245" t="s">
        <v>32</v>
      </c>
      <c r="AL76" s="243" t="s">
        <v>30</v>
      </c>
      <c r="AM76" s="244" t="s">
        <v>31</v>
      </c>
      <c r="AN76" s="245" t="s">
        <v>32</v>
      </c>
      <c r="AO76" s="243" t="s">
        <v>30</v>
      </c>
      <c r="AP76" s="244" t="s">
        <v>31</v>
      </c>
      <c r="AQ76" s="245" t="s">
        <v>32</v>
      </c>
      <c r="AR76" s="468"/>
      <c r="AS76" s="470"/>
      <c r="AT76" s="470"/>
      <c r="AU76" s="470"/>
      <c r="AV76" s="470"/>
      <c r="AW76" s="470"/>
      <c r="AX76" s="470"/>
      <c r="AY76" s="470"/>
      <c r="AZ76" s="470"/>
      <c r="BA76" s="471"/>
      <c r="BB76" s="471"/>
      <c r="BC76" s="471"/>
      <c r="BD76" s="471"/>
      <c r="BE76" s="471"/>
      <c r="BF76" s="471"/>
      <c r="BG76" s="471"/>
      <c r="BH76" s="471"/>
      <c r="BI76" s="471"/>
      <c r="BJ76" s="471"/>
      <c r="BK76" s="471"/>
      <c r="BL76" s="471"/>
      <c r="BM76" s="471"/>
      <c r="BN76" s="473"/>
      <c r="BO76" s="473"/>
      <c r="BP76" s="474"/>
      <c r="BQ76" s="474"/>
      <c r="BR76" s="382"/>
      <c r="BS76" s="382"/>
      <c r="BT76" s="382"/>
      <c r="BU76" s="382"/>
      <c r="BV76" s="382"/>
      <c r="BW76" s="382"/>
      <c r="BX76" s="382"/>
      <c r="BY76" s="382"/>
      <c r="BZ76" s="382"/>
    </row>
    <row r="77" spans="1:81" ht="16.5" x14ac:dyDescent="0.25">
      <c r="A77" s="2055" t="s">
        <v>0</v>
      </c>
      <c r="B77" s="2056"/>
      <c r="C77" s="2061">
        <v>16</v>
      </c>
      <c r="D77" s="2064" t="s">
        <v>13</v>
      </c>
      <c r="E77" s="2065"/>
      <c r="F77" s="2068" t="s">
        <v>81</v>
      </c>
      <c r="G77" s="2069"/>
      <c r="H77" s="390">
        <f>SQRT(I77^2+J77^2)*1000/(1.73*H81)</f>
        <v>49.531459973073574</v>
      </c>
      <c r="I77" s="391">
        <v>10.199199999999999</v>
      </c>
      <c r="J77" s="392">
        <v>1.8655999999999999</v>
      </c>
      <c r="K77" s="390">
        <f>SQRT(L77^2+M77^2)*1000/(1.73*K81)</f>
        <v>49.095263760953323</v>
      </c>
      <c r="L77" s="391">
        <v>10.1112</v>
      </c>
      <c r="M77" s="392">
        <v>1.8391999999999999</v>
      </c>
      <c r="N77" s="390">
        <f>SQRT(O77^2+P77^2)*1000/(1.73*N81)</f>
        <v>48.24549666163022</v>
      </c>
      <c r="O77" s="391">
        <v>9.9352</v>
      </c>
      <c r="P77" s="392">
        <v>1.8128</v>
      </c>
      <c r="Q77" s="390">
        <f>SQRT(R77^2+S77^2)*1000/(1.73*Q81)</f>
        <v>48.260659402626892</v>
      </c>
      <c r="R77" s="391">
        <v>9.9352</v>
      </c>
      <c r="S77" s="392">
        <v>1.8304</v>
      </c>
      <c r="T77" s="390">
        <f>SQRT(U77^2+V77^2)*1000/(1.73*T81)</f>
        <v>50.555985940074912</v>
      </c>
      <c r="U77" s="391">
        <v>10.366400000000001</v>
      </c>
      <c r="V77" s="392">
        <v>2.1295999999999999</v>
      </c>
      <c r="W77" s="390">
        <f>SQRT(X77^2+Y77^2)*1000/(1.73*W81)</f>
        <v>50.704996282316934</v>
      </c>
      <c r="X77" s="391">
        <v>10.392799999999999</v>
      </c>
      <c r="Y77" s="392">
        <v>2.1560000000000001</v>
      </c>
      <c r="Z77" s="390">
        <f>SQRT(AA77^2+AB77^2)*1000/(1.73*Z81)</f>
        <v>50.845593768044381</v>
      </c>
      <c r="AA77" s="391">
        <v>10.4192</v>
      </c>
      <c r="AB77" s="392">
        <v>2.1736</v>
      </c>
      <c r="AC77" s="390">
        <f>SQRT(AD77^2+AE77^2)*1000/(1.73*AC81)</f>
        <v>50.531807634607148</v>
      </c>
      <c r="AD77" s="391">
        <v>10.3576</v>
      </c>
      <c r="AE77" s="392">
        <v>2.1472000000000002</v>
      </c>
      <c r="AF77" s="390">
        <f>SQRT(AG77^2+AH77^2)*1000/(1.73*AF81)</f>
        <v>50.293443968299478</v>
      </c>
      <c r="AG77" s="391">
        <v>10.3048</v>
      </c>
      <c r="AH77" s="392">
        <v>2.1560000000000001</v>
      </c>
      <c r="AI77" s="390">
        <f>SQRT(AJ77^2+AK77^2)*1000/(1.73*AI81)</f>
        <v>50.293443968299478</v>
      </c>
      <c r="AJ77" s="391">
        <v>10.3048</v>
      </c>
      <c r="AK77" s="392">
        <v>2.1560000000000001</v>
      </c>
      <c r="AL77" s="390">
        <f>SQRT(AM77^2+AN77^2)*1000/(1.73*AL81)</f>
        <v>48.99875171305392</v>
      </c>
      <c r="AM77" s="391">
        <v>10.040800000000001</v>
      </c>
      <c r="AN77" s="392">
        <v>2.0943999999999998</v>
      </c>
      <c r="AO77" s="390">
        <f>SQRT(AP77^2+AQ77^2)*1000/(1.73*AO81)</f>
        <v>47.844703419702242</v>
      </c>
      <c r="AP77" s="391">
        <v>9.8032000000000004</v>
      </c>
      <c r="AQ77" s="392">
        <v>2.0503999999999998</v>
      </c>
      <c r="AR77" s="284"/>
      <c r="AS77" s="393"/>
      <c r="AT77" s="393"/>
      <c r="AU77" s="393"/>
      <c r="AV77" s="231"/>
      <c r="AW77" s="475"/>
      <c r="BN77" s="473"/>
      <c r="BO77" s="473"/>
    </row>
    <row r="78" spans="1:81" ht="16.5" x14ac:dyDescent="0.25">
      <c r="A78" s="2136"/>
      <c r="B78" s="2058"/>
      <c r="C78" s="2062"/>
      <c r="D78" s="2137"/>
      <c r="E78" s="2138"/>
      <c r="F78" s="2139" t="s">
        <v>122</v>
      </c>
      <c r="G78" s="2140"/>
      <c r="H78" s="395">
        <f>SQRT(I78^2+J78^2)*1000/(1.73*H82)</f>
        <v>11.883106330196041</v>
      </c>
      <c r="I78" s="396">
        <f>I102</f>
        <v>0.73045000000000004</v>
      </c>
      <c r="J78" s="397">
        <f>J102</f>
        <v>0.11899999999999999</v>
      </c>
      <c r="K78" s="395">
        <f>SQRT(L78^2+M78^2)*1000/(1.73*K82)</f>
        <v>12.472532768345419</v>
      </c>
      <c r="L78" s="396">
        <f>L102</f>
        <v>0.76580000000000004</v>
      </c>
      <c r="M78" s="397">
        <f>M102</f>
        <v>0.13020000000000001</v>
      </c>
      <c r="N78" s="395">
        <f>SQRT(O78^2+P78^2)*1000/(1.73*N82)</f>
        <v>11.639338383882441</v>
      </c>
      <c r="O78" s="396">
        <f>O102</f>
        <v>0.71575</v>
      </c>
      <c r="P78" s="397">
        <f>P102</f>
        <v>0.1148</v>
      </c>
      <c r="Q78" s="395">
        <f>SQRT(R78^2+S78^2)*1000/(1.73*Q82)</f>
        <v>11.984774292563451</v>
      </c>
      <c r="R78" s="396">
        <f>R102</f>
        <v>0.73570000000000002</v>
      </c>
      <c r="S78" s="397">
        <f>S102</f>
        <v>0.126</v>
      </c>
      <c r="T78" s="395">
        <f>SQRT(U78^2+V78^2)*1000/(1.73*T82)</f>
        <v>13.155581114330699</v>
      </c>
      <c r="U78" s="396">
        <f>U102</f>
        <v>0.79869999999999997</v>
      </c>
      <c r="V78" s="397">
        <f>V102</f>
        <v>0.1827</v>
      </c>
      <c r="W78" s="395">
        <f>SQRT(X78^2+Y78^2)*1000/(1.73*W82)</f>
        <v>12.770222670097178</v>
      </c>
      <c r="X78" s="396">
        <f>X102</f>
        <v>0.77559999999999996</v>
      </c>
      <c r="Y78" s="397">
        <f>Y102</f>
        <v>0.17605000000000001</v>
      </c>
      <c r="Z78" s="395">
        <f>SQRT(AA78^2+AB78^2)*1000/(1.73*Z82)</f>
        <v>13.311829788583829</v>
      </c>
      <c r="AA78" s="396">
        <f>AA102</f>
        <v>0.80779999999999996</v>
      </c>
      <c r="AB78" s="397">
        <f>AB102</f>
        <v>0.18654999999999999</v>
      </c>
      <c r="AC78" s="395">
        <f>SQRT(AD78^2+AE78^2)*1000/(1.73*AC82)</f>
        <v>12.167252926112267</v>
      </c>
      <c r="AD78" s="396">
        <f>AD102</f>
        <v>0.73955000000000004</v>
      </c>
      <c r="AE78" s="397">
        <f>AE102</f>
        <v>0.16520000000000001</v>
      </c>
      <c r="AF78" s="395">
        <f>SQRT(AG78^2+AH78^2)*1000/(1.73*AF82)</f>
        <v>12.726891051686575</v>
      </c>
      <c r="AG78" s="396">
        <f>AG102</f>
        <v>0.77315</v>
      </c>
      <c r="AH78" s="397">
        <f>AH102</f>
        <v>0.17465</v>
      </c>
      <c r="AI78" s="395">
        <f>SQRT(AJ78^2+AK78^2)*1000/(1.73*AI82)</f>
        <v>12.593941920535165</v>
      </c>
      <c r="AJ78" s="396">
        <f>AJ102</f>
        <v>0.76544999999999996</v>
      </c>
      <c r="AK78" s="397">
        <f>AK102</f>
        <v>0.17115</v>
      </c>
      <c r="AL78" s="395">
        <f>SQRT(AM78^2+AN78^2)*1000/(1.73*AL82)</f>
        <v>12.974901396407423</v>
      </c>
      <c r="AM78" s="396">
        <f>AM102</f>
        <v>0.78890000000000005</v>
      </c>
      <c r="AN78" s="397">
        <f>AN102</f>
        <v>0.17499999999999999</v>
      </c>
      <c r="AO78" s="395">
        <f>SQRT(AP78^2+AQ78^2)*1000/(1.73*AO82)</f>
        <v>12.699383531282026</v>
      </c>
      <c r="AP78" s="396">
        <f>AP102</f>
        <v>0.77210000000000001</v>
      </c>
      <c r="AQ78" s="397">
        <f>AQ102</f>
        <v>0.17150000000000001</v>
      </c>
      <c r="AR78" s="284"/>
      <c r="AS78" s="393"/>
      <c r="AT78" s="393"/>
      <c r="AU78" s="393"/>
      <c r="AV78" s="231"/>
      <c r="AW78" s="475"/>
      <c r="BN78" s="473"/>
      <c r="BO78" s="473"/>
    </row>
    <row r="79" spans="1:81" ht="17.25" thickBot="1" x14ac:dyDescent="0.3">
      <c r="A79" s="2057"/>
      <c r="B79" s="2058"/>
      <c r="C79" s="2062"/>
      <c r="D79" s="2066"/>
      <c r="E79" s="2067"/>
      <c r="F79" s="2070" t="s">
        <v>82</v>
      </c>
      <c r="G79" s="2071"/>
      <c r="H79" s="250">
        <f>SQRT(I79^2+J79^2)*1000/(1.73*H83)</f>
        <v>543.1661874375942</v>
      </c>
      <c r="I79" s="398">
        <f>I124+I122</f>
        <v>9.5200560000000021</v>
      </c>
      <c r="J79" s="399">
        <f>J124+J122</f>
        <v>1.1114000000000002</v>
      </c>
      <c r="K79" s="250">
        <f>SQRT(L79^2+M79^2)*1000/(1.73*K83)</f>
        <v>535.75919103381045</v>
      </c>
      <c r="L79" s="398">
        <f>L124+L122</f>
        <v>9.389736000000001</v>
      </c>
      <c r="M79" s="399">
        <f>M124+M122</f>
        <v>1.1004999999999998</v>
      </c>
      <c r="N79" s="250">
        <f>SQRT(O79^2+P79^2)*1000/(1.73*N83)</f>
        <v>529.27102833586946</v>
      </c>
      <c r="O79" s="398">
        <f>O124+O122</f>
        <v>9.2748079999999984</v>
      </c>
      <c r="P79" s="399">
        <f>P124+P122</f>
        <v>1.0975000000000001</v>
      </c>
      <c r="Q79" s="250">
        <f>SQRT(R79^2+S79^2)*1000/(1.73*Q83)</f>
        <v>527.79534110488737</v>
      </c>
      <c r="R79" s="398">
        <f>R124+R122</f>
        <v>9.2464199999999988</v>
      </c>
      <c r="S79" s="399">
        <f>S124+S122</f>
        <v>1.1156000000000001</v>
      </c>
      <c r="T79" s="250">
        <f>SQRT(U79^2+V79^2)*1000/(1.73*T83)</f>
        <v>549.24128349719342</v>
      </c>
      <c r="U79" s="398">
        <f>U124+U122</f>
        <v>9.6043840000000014</v>
      </c>
      <c r="V79" s="399">
        <f>V124+V122</f>
        <v>1.2995999999999999</v>
      </c>
      <c r="W79" s="250">
        <f>SQRT(X79^2+Y79^2)*1000/(1.73*W83)</f>
        <v>552.62687901288155</v>
      </c>
      <c r="X79" s="398">
        <f>X124+X122</f>
        <v>9.6626520000000014</v>
      </c>
      <c r="Y79" s="399">
        <f>Y124+Y122</f>
        <v>1.3145000000000002</v>
      </c>
      <c r="Z79" s="250">
        <f>SQRT(AA79^2+AB79^2)*1000/(1.73*Z83)</f>
        <v>552.593329236984</v>
      </c>
      <c r="AA79" s="398">
        <f>AA124+AA122</f>
        <v>9.6594919999999984</v>
      </c>
      <c r="AB79" s="399">
        <f>AB124+AB122</f>
        <v>1.3331999999999999</v>
      </c>
      <c r="AC79" s="250">
        <f>SQRT(AD79^2+AE79^2)*1000/(1.73*AC83)</f>
        <v>552.58149512430384</v>
      </c>
      <c r="AD79" s="398">
        <f>AD124+AD122</f>
        <v>9.6607519999999987</v>
      </c>
      <c r="AE79" s="399">
        <f>AE124+AE122</f>
        <v>1.3225</v>
      </c>
      <c r="AF79" s="250">
        <f>SQRT(AG79^2+AH79^2)*1000/(1.73*AF83)</f>
        <v>547.82053203934447</v>
      </c>
      <c r="AG79" s="398">
        <f>AG124+AG122</f>
        <v>9.5738800000000008</v>
      </c>
      <c r="AH79" s="399">
        <f>AH124+AH122</f>
        <v>1.3373999999999999</v>
      </c>
      <c r="AI79" s="250">
        <f>SQRT(AJ79^2+AK79^2)*1000/(1.73*AI83)</f>
        <v>548.32988046167191</v>
      </c>
      <c r="AJ79" s="398">
        <f>AJ124+AJ122</f>
        <v>9.5822280000000006</v>
      </c>
      <c r="AK79" s="399">
        <f>AK124+AK122</f>
        <v>1.3426</v>
      </c>
      <c r="AL79" s="250">
        <f>SQRT(AM79^2+AN79^2)*1000/(1.73*AL83)</f>
        <v>532.1711793074702</v>
      </c>
      <c r="AM79" s="398">
        <f>AM124+AM122</f>
        <v>9.2989840000000008</v>
      </c>
      <c r="AN79" s="399">
        <f>AN124+AN122</f>
        <v>1.3091999999999999</v>
      </c>
      <c r="AO79" s="250">
        <f>SQRT(AP79^2+AQ79^2)*1000/(1.73*AO83)</f>
        <v>519.46106963834779</v>
      </c>
      <c r="AP79" s="398">
        <f>AP124+AP122</f>
        <v>9.0735279999999996</v>
      </c>
      <c r="AQ79" s="399">
        <f>AQ124+AQ122</f>
        <v>1.3015999999999999</v>
      </c>
      <c r="AR79" s="284"/>
      <c r="AS79" s="393"/>
      <c r="AT79" s="393"/>
      <c r="AU79" s="393"/>
      <c r="AV79" s="231"/>
      <c r="AW79" s="475"/>
      <c r="BN79" s="473"/>
      <c r="BO79" s="473"/>
    </row>
    <row r="80" spans="1:81" ht="17.25" thickBot="1" x14ac:dyDescent="0.3">
      <c r="A80" s="2057"/>
      <c r="B80" s="2058"/>
      <c r="C80" s="2062"/>
      <c r="D80" s="2072" t="s">
        <v>39</v>
      </c>
      <c r="E80" s="2073"/>
      <c r="F80" s="2141"/>
      <c r="G80" s="2142"/>
      <c r="H80" s="2143">
        <v>4</v>
      </c>
      <c r="I80" s="2144"/>
      <c r="J80" s="2145"/>
      <c r="K80" s="2143">
        <v>4</v>
      </c>
      <c r="L80" s="2144"/>
      <c r="M80" s="2145"/>
      <c r="N80" s="2143">
        <v>4</v>
      </c>
      <c r="O80" s="2144"/>
      <c r="P80" s="2145"/>
      <c r="Q80" s="2143">
        <v>4</v>
      </c>
      <c r="R80" s="2144"/>
      <c r="S80" s="2145"/>
      <c r="T80" s="2143">
        <v>4</v>
      </c>
      <c r="U80" s="2144"/>
      <c r="V80" s="2145"/>
      <c r="W80" s="2143">
        <v>4</v>
      </c>
      <c r="X80" s="2144"/>
      <c r="Y80" s="2145"/>
      <c r="Z80" s="2143">
        <v>4</v>
      </c>
      <c r="AA80" s="2144"/>
      <c r="AB80" s="2145"/>
      <c r="AC80" s="2143">
        <v>4</v>
      </c>
      <c r="AD80" s="2144"/>
      <c r="AE80" s="2145"/>
      <c r="AF80" s="2143">
        <v>4</v>
      </c>
      <c r="AG80" s="2144"/>
      <c r="AH80" s="2145"/>
      <c r="AI80" s="2143">
        <v>4</v>
      </c>
      <c r="AJ80" s="2144"/>
      <c r="AK80" s="2145"/>
      <c r="AL80" s="2143">
        <v>4</v>
      </c>
      <c r="AM80" s="2144"/>
      <c r="AN80" s="2145"/>
      <c r="AO80" s="2143">
        <v>4</v>
      </c>
      <c r="AP80" s="2144"/>
      <c r="AQ80" s="2145"/>
      <c r="AR80" s="393"/>
      <c r="AS80" s="393"/>
      <c r="AT80" s="393"/>
      <c r="AU80" s="393"/>
      <c r="AV80" s="231"/>
      <c r="AW80" s="475"/>
      <c r="BN80" s="473"/>
      <c r="BO80" s="473"/>
    </row>
    <row r="81" spans="1:67" ht="16.5" x14ac:dyDescent="0.25">
      <c r="A81" s="2057"/>
      <c r="B81" s="2058"/>
      <c r="C81" s="2062"/>
      <c r="D81" s="2078" t="s">
        <v>14</v>
      </c>
      <c r="E81" s="2090"/>
      <c r="F81" s="2113" t="s">
        <v>81</v>
      </c>
      <c r="G81" s="2147"/>
      <c r="H81" s="2148">
        <v>121</v>
      </c>
      <c r="I81" s="2149"/>
      <c r="J81" s="2150"/>
      <c r="K81" s="2148">
        <v>121</v>
      </c>
      <c r="L81" s="2149"/>
      <c r="M81" s="2150"/>
      <c r="N81" s="2148">
        <v>121</v>
      </c>
      <c r="O81" s="2149"/>
      <c r="P81" s="2150"/>
      <c r="Q81" s="2148">
        <v>121</v>
      </c>
      <c r="R81" s="2149"/>
      <c r="S81" s="2150"/>
      <c r="T81" s="2148">
        <v>121</v>
      </c>
      <c r="U81" s="2149"/>
      <c r="V81" s="2150"/>
      <c r="W81" s="2148">
        <v>121</v>
      </c>
      <c r="X81" s="2149"/>
      <c r="Y81" s="2150"/>
      <c r="Z81" s="2148">
        <v>121</v>
      </c>
      <c r="AA81" s="2149"/>
      <c r="AB81" s="2150"/>
      <c r="AC81" s="2148">
        <v>121</v>
      </c>
      <c r="AD81" s="2149"/>
      <c r="AE81" s="2150"/>
      <c r="AF81" s="2148">
        <v>121</v>
      </c>
      <c r="AG81" s="2149"/>
      <c r="AH81" s="2150"/>
      <c r="AI81" s="2148">
        <v>121</v>
      </c>
      <c r="AJ81" s="2149"/>
      <c r="AK81" s="2150"/>
      <c r="AL81" s="2148">
        <v>121</v>
      </c>
      <c r="AM81" s="2149"/>
      <c r="AN81" s="2150"/>
      <c r="AO81" s="2148">
        <v>121</v>
      </c>
      <c r="AP81" s="2149"/>
      <c r="AQ81" s="2150"/>
      <c r="AR81" s="393"/>
      <c r="AS81" s="393"/>
      <c r="AT81" s="393"/>
      <c r="AU81" s="393"/>
      <c r="AV81" s="231"/>
      <c r="AW81" s="475"/>
      <c r="BN81" s="473"/>
      <c r="BO81" s="473"/>
    </row>
    <row r="82" spans="1:67" ht="16.5" x14ac:dyDescent="0.25">
      <c r="A82" s="2057"/>
      <c r="B82" s="2058"/>
      <c r="C82" s="2062"/>
      <c r="D82" s="2057"/>
      <c r="E82" s="2146"/>
      <c r="F82" s="2151" t="s">
        <v>122</v>
      </c>
      <c r="G82" s="2152"/>
      <c r="H82" s="2153">
        <v>36</v>
      </c>
      <c r="I82" s="2154"/>
      <c r="J82" s="2155"/>
      <c r="K82" s="2153">
        <v>36</v>
      </c>
      <c r="L82" s="2154"/>
      <c r="M82" s="2155"/>
      <c r="N82" s="2153">
        <v>36</v>
      </c>
      <c r="O82" s="2154"/>
      <c r="P82" s="2155"/>
      <c r="Q82" s="2153">
        <v>36</v>
      </c>
      <c r="R82" s="2154"/>
      <c r="S82" s="2155"/>
      <c r="T82" s="2153">
        <v>36</v>
      </c>
      <c r="U82" s="2154"/>
      <c r="V82" s="2155"/>
      <c r="W82" s="2153">
        <v>36</v>
      </c>
      <c r="X82" s="2154"/>
      <c r="Y82" s="2155"/>
      <c r="Z82" s="2153">
        <v>36</v>
      </c>
      <c r="AA82" s="2154"/>
      <c r="AB82" s="2155"/>
      <c r="AC82" s="2153">
        <v>36</v>
      </c>
      <c r="AD82" s="2154"/>
      <c r="AE82" s="2155"/>
      <c r="AF82" s="2153">
        <v>36</v>
      </c>
      <c r="AG82" s="2154"/>
      <c r="AH82" s="2155"/>
      <c r="AI82" s="2153">
        <v>36</v>
      </c>
      <c r="AJ82" s="2154"/>
      <c r="AK82" s="2155"/>
      <c r="AL82" s="2153">
        <v>36</v>
      </c>
      <c r="AM82" s="2154"/>
      <c r="AN82" s="2155"/>
      <c r="AO82" s="2153">
        <v>36</v>
      </c>
      <c r="AP82" s="2154"/>
      <c r="AQ82" s="2155"/>
      <c r="AR82" s="393"/>
      <c r="AS82" s="393"/>
      <c r="AT82" s="393"/>
      <c r="AU82" s="393"/>
      <c r="AV82" s="231"/>
      <c r="AW82" s="475"/>
      <c r="AX82" s="476"/>
      <c r="AY82" s="476"/>
      <c r="BB82" s="473"/>
      <c r="BC82" s="473"/>
      <c r="BN82" s="473"/>
      <c r="BO82" s="473"/>
    </row>
    <row r="83" spans="1:67" ht="17.25" thickBot="1" x14ac:dyDescent="0.3">
      <c r="A83" s="2057"/>
      <c r="B83" s="2058"/>
      <c r="C83" s="2062"/>
      <c r="D83" s="2059"/>
      <c r="E83" s="2091"/>
      <c r="F83" s="2156" t="s">
        <v>82</v>
      </c>
      <c r="G83" s="2157"/>
      <c r="H83" s="2158">
        <v>10.199999999999999</v>
      </c>
      <c r="I83" s="2159"/>
      <c r="J83" s="2160"/>
      <c r="K83" s="2158">
        <v>10.199999999999999</v>
      </c>
      <c r="L83" s="2159"/>
      <c r="M83" s="2160"/>
      <c r="N83" s="2158">
        <v>10.199999999999999</v>
      </c>
      <c r="O83" s="2159"/>
      <c r="P83" s="2160"/>
      <c r="Q83" s="2158">
        <v>10.199999999999999</v>
      </c>
      <c r="R83" s="2159"/>
      <c r="S83" s="2160"/>
      <c r="T83" s="2158">
        <v>10.199999999999999</v>
      </c>
      <c r="U83" s="2159"/>
      <c r="V83" s="2160"/>
      <c r="W83" s="2158">
        <v>10.199999999999999</v>
      </c>
      <c r="X83" s="2159"/>
      <c r="Y83" s="2160"/>
      <c r="Z83" s="2158">
        <v>10.199999999999999</v>
      </c>
      <c r="AA83" s="2159"/>
      <c r="AB83" s="2160"/>
      <c r="AC83" s="2158">
        <v>10.199999999999999</v>
      </c>
      <c r="AD83" s="2159"/>
      <c r="AE83" s="2160"/>
      <c r="AF83" s="2158">
        <v>10.199999999999999</v>
      </c>
      <c r="AG83" s="2159"/>
      <c r="AH83" s="2160"/>
      <c r="AI83" s="2158">
        <v>10.199999999999999</v>
      </c>
      <c r="AJ83" s="2159"/>
      <c r="AK83" s="2160"/>
      <c r="AL83" s="2158">
        <v>10.199999999999999</v>
      </c>
      <c r="AM83" s="2159"/>
      <c r="AN83" s="2160"/>
      <c r="AO83" s="2158">
        <v>10.199999999999999</v>
      </c>
      <c r="AP83" s="2159"/>
      <c r="AQ83" s="2160"/>
      <c r="AR83" s="393"/>
      <c r="AS83" s="393"/>
      <c r="AT83" s="393"/>
      <c r="AU83" s="393"/>
      <c r="AV83" s="231"/>
      <c r="AW83" s="475"/>
      <c r="AX83" s="476"/>
      <c r="AY83" s="476"/>
      <c r="BB83" s="473"/>
      <c r="BC83" s="473"/>
      <c r="BN83" s="473"/>
      <c r="BO83" s="473"/>
    </row>
    <row r="84" spans="1:67" ht="17.25" thickBot="1" x14ac:dyDescent="0.3">
      <c r="A84" s="2059"/>
      <c r="B84" s="2060"/>
      <c r="C84" s="2063"/>
      <c r="D84" s="2072" t="s">
        <v>83</v>
      </c>
      <c r="E84" s="2073"/>
      <c r="F84" s="2120"/>
      <c r="G84" s="2161"/>
      <c r="H84" s="2143">
        <v>4</v>
      </c>
      <c r="I84" s="2144"/>
      <c r="J84" s="2145"/>
      <c r="K84" s="2143">
        <v>4</v>
      </c>
      <c r="L84" s="2144"/>
      <c r="M84" s="2145"/>
      <c r="N84" s="2143">
        <v>4</v>
      </c>
      <c r="O84" s="2144"/>
      <c r="P84" s="2145"/>
      <c r="Q84" s="2143">
        <v>4</v>
      </c>
      <c r="R84" s="2144"/>
      <c r="S84" s="2145"/>
      <c r="T84" s="2143">
        <v>4</v>
      </c>
      <c r="U84" s="2144"/>
      <c r="V84" s="2145"/>
      <c r="W84" s="2143">
        <v>4</v>
      </c>
      <c r="X84" s="2144"/>
      <c r="Y84" s="2145"/>
      <c r="Z84" s="2143">
        <v>4</v>
      </c>
      <c r="AA84" s="2144"/>
      <c r="AB84" s="2145"/>
      <c r="AC84" s="2143">
        <v>4</v>
      </c>
      <c r="AD84" s="2144"/>
      <c r="AE84" s="2145"/>
      <c r="AF84" s="2143">
        <v>4</v>
      </c>
      <c r="AG84" s="2144"/>
      <c r="AH84" s="2145"/>
      <c r="AI84" s="2143">
        <v>4</v>
      </c>
      <c r="AJ84" s="2144"/>
      <c r="AK84" s="2145"/>
      <c r="AL84" s="2143">
        <v>4</v>
      </c>
      <c r="AM84" s="2144"/>
      <c r="AN84" s="2145"/>
      <c r="AO84" s="2143">
        <v>4</v>
      </c>
      <c r="AP84" s="2144"/>
      <c r="AQ84" s="2145"/>
      <c r="AR84" s="393"/>
      <c r="AS84" s="393"/>
      <c r="AT84" s="393"/>
      <c r="AU84" s="393"/>
      <c r="AV84" s="231"/>
      <c r="AW84" s="475"/>
      <c r="AX84" s="476"/>
      <c r="AY84" s="476"/>
      <c r="BB84" s="473"/>
      <c r="BC84" s="473"/>
    </row>
    <row r="85" spans="1:67" ht="16.5" x14ac:dyDescent="0.25">
      <c r="A85" s="2055" t="s">
        <v>1</v>
      </c>
      <c r="B85" s="2056"/>
      <c r="C85" s="2061">
        <v>16</v>
      </c>
      <c r="D85" s="2064" t="s">
        <v>13</v>
      </c>
      <c r="E85" s="2065"/>
      <c r="F85" s="2068" t="s">
        <v>81</v>
      </c>
      <c r="G85" s="2088"/>
      <c r="H85" s="402">
        <f>SQRT(I85^2+J85^2)*1000/(1.73*H89)</f>
        <v>52.611191318669661</v>
      </c>
      <c r="I85" s="391">
        <v>10.8416</v>
      </c>
      <c r="J85" s="392">
        <v>1.9359999999999999</v>
      </c>
      <c r="K85" s="402">
        <f>SQRT(L85^2+M85^2)*1000/(1.73*K89)</f>
        <v>51.588410777076206</v>
      </c>
      <c r="L85" s="391">
        <v>10.6304</v>
      </c>
      <c r="M85" s="392">
        <v>1.9008</v>
      </c>
      <c r="N85" s="402">
        <f>SQRT(O85^2+P85^2)*1000/(1.73*N89)</f>
        <v>51.498253023202345</v>
      </c>
      <c r="O85" s="391">
        <v>10.6128</v>
      </c>
      <c r="P85" s="392">
        <v>1.8919999999999999</v>
      </c>
      <c r="Q85" s="402">
        <f>SQRT(R85^2+S85^2)*1000/(1.73*Q89)</f>
        <v>51.712563172774438</v>
      </c>
      <c r="R85" s="391">
        <v>10.6568</v>
      </c>
      <c r="S85" s="392">
        <v>1.9008</v>
      </c>
      <c r="T85" s="402">
        <f>SQRT(U85^2+V85^2)*1000/(1.73*T89)</f>
        <v>53.492628193177943</v>
      </c>
      <c r="U85" s="391">
        <v>11</v>
      </c>
      <c r="V85" s="392">
        <v>2.0943999999999998</v>
      </c>
      <c r="W85" s="402">
        <f>SQRT(X85^2+Y85^2)*1000/(1.73*W89)</f>
        <v>54.251732055102728</v>
      </c>
      <c r="X85" s="391">
        <v>11.1584</v>
      </c>
      <c r="Y85" s="392">
        <v>2.1120000000000001</v>
      </c>
      <c r="Z85" s="402">
        <f>SQRT(AA85^2+AB85^2)*1000/(1.73*Z89)</f>
        <v>54.597816020884878</v>
      </c>
      <c r="AA85" s="391">
        <v>11.2288</v>
      </c>
      <c r="AB85" s="392">
        <v>2.1295999999999999</v>
      </c>
      <c r="AC85" s="402">
        <f>SQRT(AD85^2+AE85^2)*1000/(1.73*AC89)</f>
        <v>54.251732055102728</v>
      </c>
      <c r="AD85" s="391">
        <v>11.1584</v>
      </c>
      <c r="AE85" s="392">
        <v>2.1120000000000001</v>
      </c>
      <c r="AF85" s="402">
        <f>SQRT(AG85^2+AH85^2)*1000/(1.73*AF89)</f>
        <v>54.308725229138354</v>
      </c>
      <c r="AG85" s="391">
        <v>11.167199999999999</v>
      </c>
      <c r="AH85" s="392">
        <v>2.1295999999999999</v>
      </c>
      <c r="AI85" s="402">
        <f>SQRT(AJ85^2+AK85^2)*1000/(1.73*AI89)</f>
        <v>53.665680033336052</v>
      </c>
      <c r="AJ85" s="391">
        <v>11.0352</v>
      </c>
      <c r="AK85" s="392">
        <v>2.1032000000000002</v>
      </c>
      <c r="AL85" s="402">
        <f>SQRT(AM85^2+AN85^2)*1000/(1.73*AL89)</f>
        <v>53.14652996658522</v>
      </c>
      <c r="AM85" s="391">
        <v>10.929600000000001</v>
      </c>
      <c r="AN85" s="392">
        <v>2.0768</v>
      </c>
      <c r="AO85" s="402">
        <f>SQRT(AP85^2+AQ85^2)*1000/(1.73*AO89)</f>
        <v>51.860448330865182</v>
      </c>
      <c r="AP85" s="391">
        <v>10.6656</v>
      </c>
      <c r="AQ85" s="392">
        <v>2.024</v>
      </c>
      <c r="AR85" s="284"/>
      <c r="AS85" s="393"/>
      <c r="AT85" s="393"/>
      <c r="AU85" s="393"/>
      <c r="AV85" s="231"/>
      <c r="AW85" s="475"/>
      <c r="AX85" s="476"/>
      <c r="AY85" s="476"/>
      <c r="BB85" s="473"/>
      <c r="BC85" s="473"/>
    </row>
    <row r="86" spans="1:67" ht="16.5" x14ac:dyDescent="0.25">
      <c r="A86" s="2136"/>
      <c r="B86" s="2058"/>
      <c r="C86" s="2062"/>
      <c r="D86" s="2137"/>
      <c r="E86" s="2138"/>
      <c r="F86" s="2139" t="s">
        <v>122</v>
      </c>
      <c r="G86" s="2162"/>
      <c r="H86" s="395">
        <f>SQRT(I86^2+J86^2)*1000/(1.73*H90)</f>
        <v>27.215126381106735</v>
      </c>
      <c r="I86" s="477">
        <f>I103</f>
        <v>1.6789499999999999</v>
      </c>
      <c r="J86" s="478">
        <f>J103</f>
        <v>0.2324</v>
      </c>
      <c r="K86" s="395">
        <f>SQRT(L86^2+M86^2)*1000/(1.73*K90)</f>
        <v>26.527899271648085</v>
      </c>
      <c r="L86" s="477">
        <f>L103</f>
        <v>1.6369499999999999</v>
      </c>
      <c r="M86" s="478">
        <f>M103</f>
        <v>0.22364999999999999</v>
      </c>
      <c r="N86" s="395">
        <f>SQRT(O86^2+P86^2)*1000/(1.73*N90)</f>
        <v>26.439390767986254</v>
      </c>
      <c r="O86" s="477">
        <f>O103</f>
        <v>1.631</v>
      </c>
      <c r="P86" s="478">
        <f>P103</f>
        <v>0.22645000000000001</v>
      </c>
      <c r="Q86" s="395">
        <f>SQRT(R86^2+S86^2)*1000/(1.73*Q90)</f>
        <v>26.578291282693677</v>
      </c>
      <c r="R86" s="477">
        <f>R103</f>
        <v>1.63835</v>
      </c>
      <c r="S86" s="478">
        <f>S103</f>
        <v>0.23624999999999999</v>
      </c>
      <c r="T86" s="395">
        <f>SQRT(U86^2+V86^2)*1000/(1.73*T90)</f>
        <v>27.558025913199291</v>
      </c>
      <c r="U86" s="477">
        <f>U103</f>
        <v>1.70065</v>
      </c>
      <c r="V86" s="478">
        <f>V103</f>
        <v>0.23135</v>
      </c>
      <c r="W86" s="395">
        <f>SQRT(X86^2+Y86^2)*1000/(1.73*W90)</f>
        <v>27.635232030948686</v>
      </c>
      <c r="X86" s="477">
        <f>X103</f>
        <v>1.7055499999999999</v>
      </c>
      <c r="Y86" s="478">
        <f>Y103</f>
        <v>0.23100000000000001</v>
      </c>
      <c r="Z86" s="395">
        <f>SQRT(AA86^2+AB86^2)*1000/(1.73*Z90)</f>
        <v>27.44894708911059</v>
      </c>
      <c r="AA86" s="477">
        <f>AA103</f>
        <v>1.6936500000000001</v>
      </c>
      <c r="AB86" s="478">
        <f>AB103</f>
        <v>0.2324</v>
      </c>
      <c r="AC86" s="395">
        <f>SQRT(AD86^2+AE86^2)*1000/(1.73*AC90)</f>
        <v>26.917190050343272</v>
      </c>
      <c r="AD86" s="477">
        <f>AD103</f>
        <v>1.6607499999999999</v>
      </c>
      <c r="AE86" s="478">
        <f>AE103</f>
        <v>0.22855</v>
      </c>
      <c r="AF86" s="395">
        <f>SQRT(AG86^2+AH86^2)*1000/(1.73*AF90)</f>
        <v>26.939159345006608</v>
      </c>
      <c r="AG86" s="477">
        <f>AG103</f>
        <v>1.6614500000000001</v>
      </c>
      <c r="AH86" s="478">
        <f>AH103</f>
        <v>0.23344999999999999</v>
      </c>
      <c r="AI86" s="395">
        <f>SQRT(AJ86^2+AK86^2)*1000/(1.73*AI90)</f>
        <v>26.87016475138223</v>
      </c>
      <c r="AJ86" s="477">
        <f>AJ103</f>
        <v>1.6576</v>
      </c>
      <c r="AK86" s="478">
        <f>AK103</f>
        <v>0.22994999999999999</v>
      </c>
      <c r="AL86" s="395">
        <f>SQRT(AM86^2+AN86^2)*1000/(1.73*AL90)</f>
        <v>26.850383908677365</v>
      </c>
      <c r="AM86" s="477">
        <f>AM103</f>
        <v>1.65655</v>
      </c>
      <c r="AN86" s="478">
        <f>AN103</f>
        <v>0.22855</v>
      </c>
      <c r="AO86" s="395">
        <f>SQRT(AP86^2+AQ86^2)*1000/(1.73*AO90)</f>
        <v>26.724837129544266</v>
      </c>
      <c r="AP86" s="477">
        <f>AP103</f>
        <v>1.6488499999999999</v>
      </c>
      <c r="AQ86" s="478">
        <f>AQ103</f>
        <v>0.22714999999999999</v>
      </c>
      <c r="AR86" s="284"/>
      <c r="AS86" s="393"/>
      <c r="AT86" s="393"/>
      <c r="AU86" s="393"/>
      <c r="AV86" s="231"/>
      <c r="AW86" s="475"/>
      <c r="AX86" s="476"/>
      <c r="AY86" s="476"/>
      <c r="BB86" s="473"/>
      <c r="BC86" s="473"/>
    </row>
    <row r="87" spans="1:67" ht="17.25" thickBot="1" x14ac:dyDescent="0.3">
      <c r="A87" s="2057"/>
      <c r="B87" s="2058"/>
      <c r="C87" s="2062"/>
      <c r="D87" s="2066"/>
      <c r="E87" s="2067"/>
      <c r="F87" s="2070" t="s">
        <v>82</v>
      </c>
      <c r="G87" s="2089"/>
      <c r="H87" s="250">
        <f>SQRT(I87^2+J87^2)*1000/(1.73*H91)</f>
        <v>526.41761036704077</v>
      </c>
      <c r="I87" s="398">
        <f>I125+I123</f>
        <v>9.2228480000000008</v>
      </c>
      <c r="J87" s="479">
        <f>J125+J123</f>
        <v>1.1079999999999999</v>
      </c>
      <c r="K87" s="250">
        <f>SQRT(L87^2+M87^2)*1000/(1.73*K91)</f>
        <v>516.87153321292089</v>
      </c>
      <c r="L87" s="398">
        <f>L125+L123</f>
        <v>9.054552000000001</v>
      </c>
      <c r="M87" s="479">
        <f>M125+M123</f>
        <v>1.0965999999999998</v>
      </c>
      <c r="N87" s="250">
        <f>SQRT(O87^2+P87^2)*1000/(1.73*N91)</f>
        <v>516.59810262197584</v>
      </c>
      <c r="O87" s="398">
        <f>O125+O123</f>
        <v>9.0487920000000006</v>
      </c>
      <c r="P87" s="479">
        <f>P125+P123</f>
        <v>1.1040000000000001</v>
      </c>
      <c r="Q87" s="250">
        <f>SQRT(R87^2+S87^2)*1000/(1.73*Q91)</f>
        <v>518.26439243875677</v>
      </c>
      <c r="R87" s="398">
        <f>R125+R123</f>
        <v>9.0803919999999998</v>
      </c>
      <c r="S87" s="479">
        <f>S125+S123</f>
        <v>1.0875999999999999</v>
      </c>
      <c r="T87" s="250">
        <f>SQRT(U87^2+V87^2)*1000/(1.73*T91)</f>
        <v>535.23980015004236</v>
      </c>
      <c r="U87" s="398">
        <f>U125+U123</f>
        <v>9.3635120000000001</v>
      </c>
      <c r="V87" s="479">
        <f>V125+V123</f>
        <v>1.2368000000000001</v>
      </c>
      <c r="W87" s="250">
        <f>SQRT(X87^2+Y87^2)*1000/(1.73*W91)</f>
        <v>543.65864238906636</v>
      </c>
      <c r="X87" s="398">
        <f>X125+X123</f>
        <v>9.5139119999999995</v>
      </c>
      <c r="Y87" s="479">
        <f>Y125+Y123</f>
        <v>1.2323999999999999</v>
      </c>
      <c r="Z87" s="250">
        <f>SQRT(AA87^2+AB87^2)*1000/(1.73*Z91)</f>
        <v>548.62641702978999</v>
      </c>
      <c r="AA87" s="398">
        <f>AA125+AA123</f>
        <v>9.6016560000000002</v>
      </c>
      <c r="AB87" s="479">
        <f>AB125+AB123</f>
        <v>1.2373999999999998</v>
      </c>
      <c r="AC87" s="250">
        <f>SQRT(AD87^2+AE87^2)*1000/(1.73*AC91)</f>
        <v>545.94990567125581</v>
      </c>
      <c r="AD87" s="398">
        <f>AD125+AD123</f>
        <v>9.5549119999999998</v>
      </c>
      <c r="AE87" s="479">
        <f>AE125+AE123</f>
        <v>1.2306000000000001</v>
      </c>
      <c r="AF87" s="250">
        <f>SQRT(AG87^2+AH87^2)*1000/(1.73*AF91)</f>
        <v>546.92636758143988</v>
      </c>
      <c r="AG87" s="398">
        <f>AG125+AG123</f>
        <v>9.5701360000000015</v>
      </c>
      <c r="AH87" s="479">
        <f>AH125+AH123</f>
        <v>1.2472000000000001</v>
      </c>
      <c r="AI87" s="250">
        <f>SQRT(AJ87^2+AK87^2)*1000/(1.73*AI91)</f>
        <v>539.83885673643954</v>
      </c>
      <c r="AJ87" s="398">
        <f>AJ125+AJ123</f>
        <v>9.4447360000000007</v>
      </c>
      <c r="AK87" s="479">
        <f>AK125+AK123</f>
        <v>1.2416</v>
      </c>
      <c r="AL87" s="250">
        <f>SQRT(AM87^2+AN87^2)*1000/(1.73*AL91)</f>
        <v>533.4143553355409</v>
      </c>
      <c r="AM87" s="398">
        <f>AM125+AM123</f>
        <v>9.3317600000000009</v>
      </c>
      <c r="AN87" s="479">
        <f>AN125+AN123</f>
        <v>1.2311999999999999</v>
      </c>
      <c r="AO87" s="250">
        <f>SQRT(AP87^2+AQ87^2)*1000/(1.73*AO91)</f>
        <v>519.04173013909838</v>
      </c>
      <c r="AP87" s="398">
        <f>AP125+AP123</f>
        <v>9.0767200000000017</v>
      </c>
      <c r="AQ87" s="479">
        <f>AQ125+AQ123</f>
        <v>1.2250000000000001</v>
      </c>
      <c r="AR87" s="284"/>
      <c r="AS87" s="393"/>
      <c r="AT87" s="393"/>
      <c r="AU87" s="393"/>
      <c r="AV87" s="231"/>
      <c r="AW87" s="475"/>
      <c r="AX87" s="476"/>
      <c r="AY87" s="476"/>
      <c r="BB87" s="473"/>
      <c r="BC87" s="473"/>
    </row>
    <row r="88" spans="1:67" ht="17.25" thickBot="1" x14ac:dyDescent="0.3">
      <c r="A88" s="2057"/>
      <c r="B88" s="2058"/>
      <c r="C88" s="2062"/>
      <c r="D88" s="2072" t="s">
        <v>39</v>
      </c>
      <c r="E88" s="2073"/>
      <c r="F88" s="2073"/>
      <c r="G88" s="2074"/>
      <c r="H88" s="2143">
        <v>4</v>
      </c>
      <c r="I88" s="2144"/>
      <c r="J88" s="2145"/>
      <c r="K88" s="2143">
        <v>4</v>
      </c>
      <c r="L88" s="2144"/>
      <c r="M88" s="2145"/>
      <c r="N88" s="2143">
        <v>4</v>
      </c>
      <c r="O88" s="2144"/>
      <c r="P88" s="2145"/>
      <c r="Q88" s="2143">
        <v>4</v>
      </c>
      <c r="R88" s="2144"/>
      <c r="S88" s="2145"/>
      <c r="T88" s="2143">
        <v>4</v>
      </c>
      <c r="U88" s="2144"/>
      <c r="V88" s="2145"/>
      <c r="W88" s="2143">
        <v>4</v>
      </c>
      <c r="X88" s="2144"/>
      <c r="Y88" s="2145"/>
      <c r="Z88" s="2143">
        <v>4</v>
      </c>
      <c r="AA88" s="2144"/>
      <c r="AB88" s="2145"/>
      <c r="AC88" s="2143">
        <v>4</v>
      </c>
      <c r="AD88" s="2144"/>
      <c r="AE88" s="2145"/>
      <c r="AF88" s="2143">
        <v>4</v>
      </c>
      <c r="AG88" s="2144"/>
      <c r="AH88" s="2145"/>
      <c r="AI88" s="2143">
        <v>4</v>
      </c>
      <c r="AJ88" s="2144"/>
      <c r="AK88" s="2145"/>
      <c r="AL88" s="2143">
        <v>4</v>
      </c>
      <c r="AM88" s="2144"/>
      <c r="AN88" s="2145"/>
      <c r="AO88" s="2143">
        <v>4</v>
      </c>
      <c r="AP88" s="2144"/>
      <c r="AQ88" s="2145"/>
      <c r="AR88" s="393"/>
      <c r="AS88" s="393"/>
      <c r="AT88" s="393"/>
      <c r="AU88" s="393"/>
      <c r="AV88" s="231"/>
      <c r="AW88" s="475"/>
      <c r="AX88" s="476"/>
      <c r="AY88" s="476"/>
      <c r="BB88" s="473"/>
      <c r="BC88" s="473"/>
    </row>
    <row r="89" spans="1:67" ht="16.5" x14ac:dyDescent="0.25">
      <c r="A89" s="2057"/>
      <c r="B89" s="2058"/>
      <c r="C89" s="2062"/>
      <c r="D89" s="2078" t="s">
        <v>14</v>
      </c>
      <c r="E89" s="2090"/>
      <c r="F89" s="2113" t="s">
        <v>81</v>
      </c>
      <c r="G89" s="2147"/>
      <c r="H89" s="2148">
        <v>121</v>
      </c>
      <c r="I89" s="2149"/>
      <c r="J89" s="2150"/>
      <c r="K89" s="2148">
        <v>121</v>
      </c>
      <c r="L89" s="2149"/>
      <c r="M89" s="2150"/>
      <c r="N89" s="2148">
        <v>121</v>
      </c>
      <c r="O89" s="2149"/>
      <c r="P89" s="2150"/>
      <c r="Q89" s="2148">
        <v>121</v>
      </c>
      <c r="R89" s="2149"/>
      <c r="S89" s="2150"/>
      <c r="T89" s="2148">
        <v>121</v>
      </c>
      <c r="U89" s="2149"/>
      <c r="V89" s="2150"/>
      <c r="W89" s="2148">
        <v>121</v>
      </c>
      <c r="X89" s="2149"/>
      <c r="Y89" s="2150"/>
      <c r="Z89" s="2148">
        <v>121</v>
      </c>
      <c r="AA89" s="2149"/>
      <c r="AB89" s="2150"/>
      <c r="AC89" s="2148">
        <v>121</v>
      </c>
      <c r="AD89" s="2149"/>
      <c r="AE89" s="2150"/>
      <c r="AF89" s="2148">
        <v>121</v>
      </c>
      <c r="AG89" s="2149"/>
      <c r="AH89" s="2150"/>
      <c r="AI89" s="2148">
        <v>121</v>
      </c>
      <c r="AJ89" s="2149"/>
      <c r="AK89" s="2150"/>
      <c r="AL89" s="2148">
        <v>121</v>
      </c>
      <c r="AM89" s="2149"/>
      <c r="AN89" s="2150"/>
      <c r="AO89" s="2148">
        <v>121</v>
      </c>
      <c r="AP89" s="2149"/>
      <c r="AQ89" s="2150"/>
      <c r="AR89" s="393"/>
      <c r="AS89" s="393"/>
      <c r="AT89" s="393"/>
      <c r="AU89" s="393"/>
      <c r="AV89" s="231"/>
      <c r="AW89" s="475"/>
      <c r="AX89" s="476"/>
      <c r="AY89" s="476"/>
      <c r="BB89" s="473"/>
      <c r="BC89" s="473"/>
    </row>
    <row r="90" spans="1:67" ht="16.5" x14ac:dyDescent="0.25">
      <c r="A90" s="2057"/>
      <c r="B90" s="2058"/>
      <c r="C90" s="2062"/>
      <c r="D90" s="2057"/>
      <c r="E90" s="2146"/>
      <c r="F90" s="2151" t="s">
        <v>122</v>
      </c>
      <c r="G90" s="2152"/>
      <c r="H90" s="2153">
        <v>36</v>
      </c>
      <c r="I90" s="2154"/>
      <c r="J90" s="2155"/>
      <c r="K90" s="2153">
        <v>36</v>
      </c>
      <c r="L90" s="2154"/>
      <c r="M90" s="2155"/>
      <c r="N90" s="2153">
        <v>36</v>
      </c>
      <c r="O90" s="2154"/>
      <c r="P90" s="2155"/>
      <c r="Q90" s="2153">
        <v>36</v>
      </c>
      <c r="R90" s="2154"/>
      <c r="S90" s="2155"/>
      <c r="T90" s="2153">
        <v>36</v>
      </c>
      <c r="U90" s="2154"/>
      <c r="V90" s="2155"/>
      <c r="W90" s="2153">
        <v>36</v>
      </c>
      <c r="X90" s="2154"/>
      <c r="Y90" s="2155"/>
      <c r="Z90" s="2153">
        <v>36</v>
      </c>
      <c r="AA90" s="2154"/>
      <c r="AB90" s="2155"/>
      <c r="AC90" s="2153">
        <v>36</v>
      </c>
      <c r="AD90" s="2154"/>
      <c r="AE90" s="2155"/>
      <c r="AF90" s="2153">
        <v>36</v>
      </c>
      <c r="AG90" s="2154"/>
      <c r="AH90" s="2155"/>
      <c r="AI90" s="2153">
        <v>36</v>
      </c>
      <c r="AJ90" s="2154"/>
      <c r="AK90" s="2155"/>
      <c r="AL90" s="2153">
        <v>36</v>
      </c>
      <c r="AM90" s="2154"/>
      <c r="AN90" s="2155"/>
      <c r="AO90" s="2153">
        <v>36</v>
      </c>
      <c r="AP90" s="2154"/>
      <c r="AQ90" s="2155"/>
      <c r="AR90" s="393"/>
      <c r="AS90" s="393"/>
      <c r="AT90" s="393"/>
      <c r="AU90" s="393"/>
      <c r="AV90" s="231"/>
      <c r="AW90" s="475"/>
    </row>
    <row r="91" spans="1:67" ht="17.25" thickBot="1" x14ac:dyDescent="0.3">
      <c r="A91" s="2057"/>
      <c r="B91" s="2058"/>
      <c r="C91" s="2062"/>
      <c r="D91" s="2059"/>
      <c r="E91" s="2091"/>
      <c r="F91" s="2156" t="s">
        <v>82</v>
      </c>
      <c r="G91" s="2157"/>
      <c r="H91" s="2158">
        <v>10.199999999999999</v>
      </c>
      <c r="I91" s="2159"/>
      <c r="J91" s="2160"/>
      <c r="K91" s="2158">
        <v>10.199999999999999</v>
      </c>
      <c r="L91" s="2159"/>
      <c r="M91" s="2160"/>
      <c r="N91" s="2158">
        <v>10.199999999999999</v>
      </c>
      <c r="O91" s="2159"/>
      <c r="P91" s="2160"/>
      <c r="Q91" s="2158">
        <v>10.199999999999999</v>
      </c>
      <c r="R91" s="2159"/>
      <c r="S91" s="2160"/>
      <c r="T91" s="2158">
        <v>10.199999999999999</v>
      </c>
      <c r="U91" s="2159"/>
      <c r="V91" s="2160"/>
      <c r="W91" s="2158">
        <v>10.199999999999999</v>
      </c>
      <c r="X91" s="2159"/>
      <c r="Y91" s="2160"/>
      <c r="Z91" s="2158">
        <v>10.199999999999999</v>
      </c>
      <c r="AA91" s="2159"/>
      <c r="AB91" s="2160"/>
      <c r="AC91" s="2158">
        <v>10.199999999999999</v>
      </c>
      <c r="AD91" s="2159"/>
      <c r="AE91" s="2160"/>
      <c r="AF91" s="2158">
        <v>10.199999999999999</v>
      </c>
      <c r="AG91" s="2159"/>
      <c r="AH91" s="2160"/>
      <c r="AI91" s="2158">
        <v>10.199999999999999</v>
      </c>
      <c r="AJ91" s="2159"/>
      <c r="AK91" s="2160"/>
      <c r="AL91" s="2158">
        <v>10.199999999999999</v>
      </c>
      <c r="AM91" s="2159"/>
      <c r="AN91" s="2160"/>
      <c r="AO91" s="2158">
        <v>10.199999999999999</v>
      </c>
      <c r="AP91" s="2159"/>
      <c r="AQ91" s="2160"/>
      <c r="AR91" s="393"/>
      <c r="AS91" s="393"/>
      <c r="AT91" s="393"/>
      <c r="AU91" s="393"/>
      <c r="AV91" s="231"/>
      <c r="AW91" s="475"/>
    </row>
    <row r="92" spans="1:67" ht="17.25" thickBot="1" x14ac:dyDescent="0.3">
      <c r="A92" s="2059"/>
      <c r="B92" s="2060"/>
      <c r="C92" s="2063"/>
      <c r="D92" s="2072" t="s">
        <v>83</v>
      </c>
      <c r="E92" s="2073"/>
      <c r="F92" s="2073"/>
      <c r="G92" s="2074"/>
      <c r="H92" s="2134" t="s">
        <v>84</v>
      </c>
      <c r="I92" s="2076"/>
      <c r="J92" s="2077"/>
      <c r="K92" s="2134" t="s">
        <v>84</v>
      </c>
      <c r="L92" s="2076"/>
      <c r="M92" s="2077"/>
      <c r="N92" s="2134" t="s">
        <v>84</v>
      </c>
      <c r="O92" s="2076"/>
      <c r="P92" s="2077"/>
      <c r="Q92" s="2134" t="s">
        <v>84</v>
      </c>
      <c r="R92" s="2076"/>
      <c r="S92" s="2077"/>
      <c r="T92" s="2134" t="s">
        <v>84</v>
      </c>
      <c r="U92" s="2076"/>
      <c r="V92" s="2077"/>
      <c r="W92" s="2134" t="s">
        <v>84</v>
      </c>
      <c r="X92" s="2076"/>
      <c r="Y92" s="2077"/>
      <c r="Z92" s="2134" t="s">
        <v>84</v>
      </c>
      <c r="AA92" s="2076"/>
      <c r="AB92" s="2077"/>
      <c r="AC92" s="2134" t="s">
        <v>84</v>
      </c>
      <c r="AD92" s="2076"/>
      <c r="AE92" s="2077"/>
      <c r="AF92" s="2134" t="s">
        <v>84</v>
      </c>
      <c r="AG92" s="2076"/>
      <c r="AH92" s="2077"/>
      <c r="AI92" s="2134" t="s">
        <v>84</v>
      </c>
      <c r="AJ92" s="2076"/>
      <c r="AK92" s="2077"/>
      <c r="AL92" s="2134" t="s">
        <v>84</v>
      </c>
      <c r="AM92" s="2076"/>
      <c r="AN92" s="2077"/>
      <c r="AO92" s="2134" t="s">
        <v>84</v>
      </c>
      <c r="AP92" s="2076"/>
      <c r="AQ92" s="2076"/>
      <c r="AR92" s="393"/>
      <c r="AS92" s="393"/>
      <c r="AT92" s="393"/>
      <c r="AU92" s="393"/>
      <c r="AV92" s="231"/>
      <c r="AW92" s="475"/>
    </row>
    <row r="93" spans="1:67" ht="16.5" x14ac:dyDescent="0.25">
      <c r="A93" s="2078" t="s">
        <v>86</v>
      </c>
      <c r="B93" s="2090"/>
      <c r="C93" s="2056"/>
      <c r="D93" s="2092"/>
      <c r="E93" s="2093"/>
      <c r="F93" s="2113" t="s">
        <v>81</v>
      </c>
      <c r="G93" s="2147"/>
      <c r="H93" s="404">
        <f>H85+H77</f>
        <v>102.14265129174323</v>
      </c>
      <c r="I93" s="391">
        <f t="shared" ref="I93:AQ95" si="7">I85+I77</f>
        <v>21.040799999999997</v>
      </c>
      <c r="J93" s="392">
        <f t="shared" si="7"/>
        <v>3.8015999999999996</v>
      </c>
      <c r="K93" s="404">
        <f t="shared" si="7"/>
        <v>100.68367453802952</v>
      </c>
      <c r="L93" s="391">
        <f t="shared" si="7"/>
        <v>20.741599999999998</v>
      </c>
      <c r="M93" s="392">
        <f t="shared" si="7"/>
        <v>3.74</v>
      </c>
      <c r="N93" s="404">
        <f t="shared" si="7"/>
        <v>99.743749684832565</v>
      </c>
      <c r="O93" s="391">
        <f t="shared" si="7"/>
        <v>20.548000000000002</v>
      </c>
      <c r="P93" s="392">
        <f t="shared" si="7"/>
        <v>3.7047999999999996</v>
      </c>
      <c r="Q93" s="404">
        <f t="shared" si="7"/>
        <v>99.973222575401337</v>
      </c>
      <c r="R93" s="391">
        <f t="shared" si="7"/>
        <v>20.591999999999999</v>
      </c>
      <c r="S93" s="392">
        <f t="shared" si="7"/>
        <v>3.7312000000000003</v>
      </c>
      <c r="T93" s="404">
        <f t="shared" si="7"/>
        <v>104.04861413325285</v>
      </c>
      <c r="U93" s="391">
        <f t="shared" si="7"/>
        <v>21.366399999999999</v>
      </c>
      <c r="V93" s="392">
        <f t="shared" si="7"/>
        <v>4.2240000000000002</v>
      </c>
      <c r="W93" s="404">
        <f t="shared" si="7"/>
        <v>104.95672833741966</v>
      </c>
      <c r="X93" s="391">
        <f t="shared" si="7"/>
        <v>21.551200000000001</v>
      </c>
      <c r="Y93" s="392">
        <f t="shared" si="7"/>
        <v>4.2680000000000007</v>
      </c>
      <c r="Z93" s="404">
        <f t="shared" si="7"/>
        <v>105.44340978892926</v>
      </c>
      <c r="AA93" s="391">
        <f t="shared" si="7"/>
        <v>21.648</v>
      </c>
      <c r="AB93" s="392">
        <f t="shared" si="7"/>
        <v>4.3032000000000004</v>
      </c>
      <c r="AC93" s="404">
        <f t="shared" si="7"/>
        <v>104.78353968970987</v>
      </c>
      <c r="AD93" s="391">
        <f t="shared" si="7"/>
        <v>21.515999999999998</v>
      </c>
      <c r="AE93" s="392">
        <f t="shared" si="7"/>
        <v>4.2591999999999999</v>
      </c>
      <c r="AF93" s="404">
        <f t="shared" si="7"/>
        <v>104.60216919743783</v>
      </c>
      <c r="AG93" s="391">
        <f t="shared" si="7"/>
        <v>21.472000000000001</v>
      </c>
      <c r="AH93" s="392">
        <f t="shared" si="7"/>
        <v>4.2856000000000005</v>
      </c>
      <c r="AI93" s="404">
        <f t="shared" si="7"/>
        <v>103.95912400163553</v>
      </c>
      <c r="AJ93" s="391">
        <f t="shared" si="7"/>
        <v>21.34</v>
      </c>
      <c r="AK93" s="392">
        <f t="shared" si="7"/>
        <v>4.2591999999999999</v>
      </c>
      <c r="AL93" s="404">
        <f t="shared" si="7"/>
        <v>102.14528167963914</v>
      </c>
      <c r="AM93" s="391">
        <f t="shared" si="7"/>
        <v>20.970400000000001</v>
      </c>
      <c r="AN93" s="392">
        <f t="shared" si="7"/>
        <v>4.1711999999999998</v>
      </c>
      <c r="AO93" s="404">
        <f t="shared" si="7"/>
        <v>99.705151750567424</v>
      </c>
      <c r="AP93" s="391">
        <f>AP85+AP77</f>
        <v>20.468800000000002</v>
      </c>
      <c r="AQ93" s="392">
        <f t="shared" si="7"/>
        <v>4.0743999999999998</v>
      </c>
      <c r="AR93" s="284"/>
      <c r="AS93" s="393"/>
      <c r="AT93" s="480"/>
      <c r="AU93" s="393"/>
      <c r="AV93" s="231"/>
      <c r="AW93" s="475"/>
    </row>
    <row r="94" spans="1:67" ht="16.5" x14ac:dyDescent="0.25">
      <c r="A94" s="2057"/>
      <c r="B94" s="2146"/>
      <c r="C94" s="2058"/>
      <c r="D94" s="2163"/>
      <c r="E94" s="2164"/>
      <c r="F94" s="2151" t="s">
        <v>122</v>
      </c>
      <c r="G94" s="2152"/>
      <c r="H94" s="395">
        <f>H86+H78</f>
        <v>39.098232711302778</v>
      </c>
      <c r="I94" s="477">
        <f>I86+I78</f>
        <v>2.4093999999999998</v>
      </c>
      <c r="J94" s="478">
        <f>J86+J78</f>
        <v>0.35139999999999999</v>
      </c>
      <c r="K94" s="395">
        <f t="shared" si="7"/>
        <v>39.000432039993505</v>
      </c>
      <c r="L94" s="477">
        <f t="shared" si="7"/>
        <v>2.4027500000000002</v>
      </c>
      <c r="M94" s="478">
        <f t="shared" si="7"/>
        <v>0.35385</v>
      </c>
      <c r="N94" s="395">
        <f t="shared" si="7"/>
        <v>38.078729151868693</v>
      </c>
      <c r="O94" s="477">
        <f t="shared" si="7"/>
        <v>2.3467500000000001</v>
      </c>
      <c r="P94" s="478">
        <f t="shared" si="7"/>
        <v>0.34125</v>
      </c>
      <c r="Q94" s="395">
        <f t="shared" si="7"/>
        <v>38.563065575257127</v>
      </c>
      <c r="R94" s="477">
        <f t="shared" si="7"/>
        <v>2.37405</v>
      </c>
      <c r="S94" s="478">
        <f t="shared" si="7"/>
        <v>0.36224999999999996</v>
      </c>
      <c r="T94" s="395">
        <f t="shared" si="7"/>
        <v>40.713607027529989</v>
      </c>
      <c r="U94" s="477">
        <f t="shared" si="7"/>
        <v>2.4993499999999997</v>
      </c>
      <c r="V94" s="478">
        <f t="shared" si="7"/>
        <v>0.41405000000000003</v>
      </c>
      <c r="W94" s="395">
        <f t="shared" si="7"/>
        <v>40.405454701045862</v>
      </c>
      <c r="X94" s="477">
        <f t="shared" si="7"/>
        <v>2.48115</v>
      </c>
      <c r="Y94" s="478">
        <f t="shared" si="7"/>
        <v>0.40705000000000002</v>
      </c>
      <c r="Z94" s="395">
        <f t="shared" si="7"/>
        <v>40.760776877694418</v>
      </c>
      <c r="AA94" s="477">
        <f t="shared" si="7"/>
        <v>2.5014500000000002</v>
      </c>
      <c r="AB94" s="478">
        <f t="shared" si="7"/>
        <v>0.41894999999999999</v>
      </c>
      <c r="AC94" s="395">
        <f t="shared" si="7"/>
        <v>39.084442976455541</v>
      </c>
      <c r="AD94" s="477">
        <f t="shared" si="7"/>
        <v>2.4003000000000001</v>
      </c>
      <c r="AE94" s="478">
        <f t="shared" si="7"/>
        <v>0.39375000000000004</v>
      </c>
      <c r="AF94" s="395">
        <f t="shared" si="7"/>
        <v>39.66605039669318</v>
      </c>
      <c r="AG94" s="477">
        <f t="shared" si="7"/>
        <v>2.4346000000000001</v>
      </c>
      <c r="AH94" s="478">
        <f t="shared" si="7"/>
        <v>0.40810000000000002</v>
      </c>
      <c r="AI94" s="395">
        <f t="shared" si="7"/>
        <v>39.464106671917392</v>
      </c>
      <c r="AJ94" s="477">
        <f t="shared" si="7"/>
        <v>2.4230499999999999</v>
      </c>
      <c r="AK94" s="478">
        <f t="shared" si="7"/>
        <v>0.40110000000000001</v>
      </c>
      <c r="AL94" s="395">
        <f t="shared" si="7"/>
        <v>39.82528530508479</v>
      </c>
      <c r="AM94" s="477">
        <f t="shared" si="7"/>
        <v>2.4454500000000001</v>
      </c>
      <c r="AN94" s="478">
        <f t="shared" si="7"/>
        <v>0.40354999999999996</v>
      </c>
      <c r="AO94" s="395">
        <f t="shared" si="7"/>
        <v>39.424220660826293</v>
      </c>
      <c r="AP94" s="477">
        <f t="shared" si="7"/>
        <v>2.4209499999999999</v>
      </c>
      <c r="AQ94" s="478">
        <f t="shared" si="7"/>
        <v>0.39865</v>
      </c>
      <c r="AR94" s="284"/>
      <c r="AS94" s="393"/>
      <c r="AT94" s="393"/>
      <c r="AU94" s="393"/>
      <c r="AV94" s="231"/>
      <c r="AW94" s="475"/>
    </row>
    <row r="95" spans="1:67" ht="17.25" thickBot="1" x14ac:dyDescent="0.3">
      <c r="A95" s="2059"/>
      <c r="B95" s="2091"/>
      <c r="C95" s="2060"/>
      <c r="D95" s="2094"/>
      <c r="E95" s="2095"/>
      <c r="F95" s="2156" t="s">
        <v>82</v>
      </c>
      <c r="G95" s="2157"/>
      <c r="H95" s="250">
        <f>H87+H79</f>
        <v>1069.583797804635</v>
      </c>
      <c r="I95" s="481">
        <f>I87+I79</f>
        <v>18.742904000000003</v>
      </c>
      <c r="J95" s="482">
        <f>J87+J79</f>
        <v>2.2194000000000003</v>
      </c>
      <c r="K95" s="250">
        <f t="shared" si="7"/>
        <v>1052.6307242467315</v>
      </c>
      <c r="L95" s="481">
        <f t="shared" si="7"/>
        <v>18.444288</v>
      </c>
      <c r="M95" s="482">
        <f t="shared" si="7"/>
        <v>2.1970999999999998</v>
      </c>
      <c r="N95" s="250">
        <f t="shared" si="7"/>
        <v>1045.8691309578453</v>
      </c>
      <c r="O95" s="481">
        <f t="shared" si="7"/>
        <v>18.323599999999999</v>
      </c>
      <c r="P95" s="482">
        <f t="shared" si="7"/>
        <v>2.2015000000000002</v>
      </c>
      <c r="Q95" s="250">
        <f t="shared" si="7"/>
        <v>1046.0597335436441</v>
      </c>
      <c r="R95" s="481">
        <f t="shared" si="7"/>
        <v>18.326811999999997</v>
      </c>
      <c r="S95" s="482">
        <f t="shared" si="7"/>
        <v>2.2031999999999998</v>
      </c>
      <c r="T95" s="250">
        <f t="shared" si="7"/>
        <v>1084.4810836472357</v>
      </c>
      <c r="U95" s="481">
        <f t="shared" si="7"/>
        <v>18.967896000000003</v>
      </c>
      <c r="V95" s="482">
        <f t="shared" si="7"/>
        <v>2.5364</v>
      </c>
      <c r="W95" s="250">
        <f t="shared" si="7"/>
        <v>1096.2855214019478</v>
      </c>
      <c r="X95" s="481">
        <f t="shared" si="7"/>
        <v>19.176563999999999</v>
      </c>
      <c r="Y95" s="482">
        <f t="shared" si="7"/>
        <v>2.5468999999999999</v>
      </c>
      <c r="Z95" s="250">
        <f t="shared" si="7"/>
        <v>1101.2197462667741</v>
      </c>
      <c r="AA95" s="481">
        <f t="shared" si="7"/>
        <v>19.261147999999999</v>
      </c>
      <c r="AB95" s="482">
        <f t="shared" si="7"/>
        <v>2.5705999999999998</v>
      </c>
      <c r="AC95" s="250">
        <f t="shared" si="7"/>
        <v>1098.5314007955596</v>
      </c>
      <c r="AD95" s="481">
        <f t="shared" si="7"/>
        <v>19.215663999999997</v>
      </c>
      <c r="AE95" s="482">
        <f t="shared" si="7"/>
        <v>2.5531000000000001</v>
      </c>
      <c r="AF95" s="250">
        <f t="shared" si="7"/>
        <v>1094.7468996207845</v>
      </c>
      <c r="AG95" s="481">
        <f t="shared" si="7"/>
        <v>19.144016000000001</v>
      </c>
      <c r="AH95" s="482">
        <f t="shared" si="7"/>
        <v>2.5846</v>
      </c>
      <c r="AI95" s="250">
        <f t="shared" si="7"/>
        <v>1088.1687371981116</v>
      </c>
      <c r="AJ95" s="481">
        <f t="shared" si="7"/>
        <v>19.026964</v>
      </c>
      <c r="AK95" s="482">
        <f t="shared" si="7"/>
        <v>2.5842000000000001</v>
      </c>
      <c r="AL95" s="250">
        <f t="shared" si="7"/>
        <v>1065.5855346430112</v>
      </c>
      <c r="AM95" s="481">
        <f t="shared" si="7"/>
        <v>18.630744</v>
      </c>
      <c r="AN95" s="482">
        <f t="shared" si="7"/>
        <v>2.5404</v>
      </c>
      <c r="AO95" s="250">
        <f t="shared" si="7"/>
        <v>1038.5027997774462</v>
      </c>
      <c r="AP95" s="481">
        <f>AP87+AP79</f>
        <v>18.150248000000001</v>
      </c>
      <c r="AQ95" s="482">
        <f t="shared" si="7"/>
        <v>2.5266000000000002</v>
      </c>
      <c r="AR95" s="284"/>
      <c r="AS95" s="393"/>
      <c r="AT95" s="393"/>
      <c r="AU95" s="393"/>
      <c r="AV95" s="231"/>
      <c r="AW95" s="475"/>
    </row>
    <row r="96" spans="1:67" ht="16.5" x14ac:dyDescent="0.25">
      <c r="A96" s="254"/>
      <c r="B96" s="255"/>
      <c r="C96" s="383"/>
      <c r="D96" s="401"/>
      <c r="E96" s="2168"/>
      <c r="F96" s="2168"/>
      <c r="G96" s="346"/>
      <c r="H96" s="231"/>
      <c r="I96" s="410"/>
      <c r="J96" s="231"/>
      <c r="K96" s="231"/>
      <c r="L96" s="231"/>
      <c r="M96" s="231"/>
      <c r="N96" s="231"/>
      <c r="O96" s="231"/>
      <c r="P96" s="231"/>
      <c r="Q96" s="231"/>
      <c r="R96" s="231"/>
      <c r="S96" s="231"/>
      <c r="T96" s="231"/>
      <c r="U96" s="231"/>
      <c r="V96" s="231"/>
      <c r="W96" s="231"/>
      <c r="X96" s="231"/>
      <c r="Y96" s="231"/>
      <c r="Z96" s="231"/>
      <c r="AA96" s="231"/>
      <c r="AB96" s="231"/>
      <c r="AC96" s="231"/>
      <c r="AD96" s="231"/>
      <c r="AE96" s="231"/>
      <c r="AF96" s="231"/>
      <c r="AG96" s="231"/>
      <c r="AH96" s="231"/>
      <c r="AI96" s="231"/>
      <c r="AJ96" s="231"/>
      <c r="AK96" s="231"/>
      <c r="AL96" s="231"/>
      <c r="AM96" s="231"/>
      <c r="AN96" s="231"/>
      <c r="AO96" s="231"/>
      <c r="AP96" s="231"/>
      <c r="AQ96" s="257"/>
      <c r="AR96" s="284"/>
      <c r="AS96" s="393"/>
    </row>
    <row r="97" spans="1:69" ht="16.5" x14ac:dyDescent="0.25">
      <c r="A97" s="358"/>
      <c r="B97" s="411"/>
      <c r="C97" s="411"/>
      <c r="D97" s="235"/>
      <c r="E97" s="2135"/>
      <c r="F97" s="2135"/>
      <c r="G97" s="231"/>
      <c r="H97" s="231"/>
      <c r="I97" s="410"/>
      <c r="J97" s="393"/>
      <c r="K97" s="393"/>
      <c r="L97" s="393"/>
      <c r="M97" s="393"/>
      <c r="N97" s="231"/>
      <c r="O97" s="231"/>
      <c r="P97" s="231"/>
      <c r="Q97" s="231"/>
      <c r="R97" s="231"/>
      <c r="S97" s="231"/>
      <c r="T97" s="231"/>
      <c r="U97" s="231"/>
      <c r="V97" s="231"/>
      <c r="W97" s="231"/>
      <c r="X97" s="231"/>
      <c r="Y97" s="231"/>
      <c r="Z97" s="231"/>
      <c r="AA97" s="231"/>
      <c r="AB97" s="231"/>
      <c r="AC97" s="231"/>
      <c r="AD97" s="231"/>
      <c r="AE97" s="231"/>
      <c r="AF97" s="231"/>
      <c r="AG97" s="231"/>
      <c r="AH97" s="231"/>
      <c r="AI97" s="231"/>
      <c r="AJ97" s="231"/>
      <c r="AK97" s="231"/>
      <c r="AL97" s="231"/>
      <c r="AM97" s="231"/>
      <c r="AN97" s="231"/>
      <c r="AO97" s="231"/>
      <c r="AP97" s="231"/>
      <c r="AQ97" s="257"/>
      <c r="AR97" s="284"/>
      <c r="AS97" s="393"/>
    </row>
    <row r="98" spans="1:69" ht="17.25" thickBot="1" x14ac:dyDescent="0.3">
      <c r="A98" s="258"/>
      <c r="B98" s="259"/>
      <c r="C98" s="259"/>
      <c r="D98" s="261"/>
      <c r="E98" s="2103"/>
      <c r="F98" s="2103"/>
      <c r="G98" s="263"/>
      <c r="H98" s="263"/>
      <c r="I98" s="263"/>
      <c r="J98" s="263"/>
      <c r="K98" s="263"/>
      <c r="L98" s="263"/>
      <c r="M98" s="263"/>
      <c r="N98" s="263"/>
      <c r="O98" s="263"/>
      <c r="P98" s="263"/>
      <c r="Q98" s="263"/>
      <c r="R98" s="263"/>
      <c r="S98" s="263"/>
      <c r="T98" s="263"/>
      <c r="U98" s="263"/>
      <c r="V98" s="263"/>
      <c r="W98" s="263"/>
      <c r="X98" s="263"/>
      <c r="Y98" s="263"/>
      <c r="Z98" s="263"/>
      <c r="AA98" s="263"/>
      <c r="AB98" s="263"/>
      <c r="AC98" s="263"/>
      <c r="AD98" s="263"/>
      <c r="AE98" s="263"/>
      <c r="AF98" s="263"/>
      <c r="AG98" s="263"/>
      <c r="AH98" s="263"/>
      <c r="AI98" s="263"/>
      <c r="AJ98" s="263"/>
      <c r="AK98" s="263"/>
      <c r="AL98" s="263"/>
      <c r="AM98" s="263"/>
      <c r="AN98" s="263"/>
      <c r="AO98" s="263"/>
      <c r="AP98" s="263"/>
      <c r="AQ98" s="262"/>
      <c r="AR98" s="284"/>
      <c r="AS98" s="393"/>
    </row>
    <row r="99" spans="1:69" ht="17.25" thickBot="1" x14ac:dyDescent="0.3">
      <c r="A99" s="264"/>
      <c r="B99" s="265"/>
      <c r="C99" s="265"/>
      <c r="D99" s="266"/>
      <c r="E99" s="267"/>
      <c r="F99" s="266"/>
      <c r="G99" s="267"/>
      <c r="H99" s="268"/>
      <c r="I99" s="266"/>
      <c r="J99" s="266"/>
      <c r="K99" s="268"/>
      <c r="L99" s="266"/>
      <c r="M99" s="266"/>
      <c r="N99" s="268"/>
      <c r="O99" s="266"/>
      <c r="P99" s="266"/>
      <c r="Q99" s="268"/>
      <c r="R99" s="266"/>
      <c r="S99" s="266"/>
      <c r="T99" s="268"/>
      <c r="U99" s="266"/>
      <c r="V99" s="266"/>
      <c r="W99" s="268"/>
      <c r="X99" s="266"/>
      <c r="Y99" s="266"/>
      <c r="Z99" s="268"/>
      <c r="AA99" s="266"/>
      <c r="AB99" s="266"/>
      <c r="AC99" s="268"/>
      <c r="AD99" s="266"/>
      <c r="AE99" s="266"/>
      <c r="AF99" s="268"/>
      <c r="AG99" s="266"/>
      <c r="AH99" s="266"/>
      <c r="AI99" s="268"/>
      <c r="AJ99" s="266"/>
      <c r="AK99" s="266"/>
      <c r="AL99" s="268"/>
      <c r="AM99" s="266"/>
      <c r="AN99" s="266"/>
      <c r="AO99" s="268"/>
      <c r="AP99" s="266"/>
      <c r="AQ99" s="266"/>
      <c r="AR99" s="284"/>
      <c r="AS99" s="393"/>
    </row>
    <row r="100" spans="1:69" ht="16.5" x14ac:dyDescent="0.25">
      <c r="A100" s="2104" t="s">
        <v>40</v>
      </c>
      <c r="B100" s="2105"/>
      <c r="C100" s="2133"/>
      <c r="D100" s="2172" t="s">
        <v>5</v>
      </c>
      <c r="E100" s="2173"/>
      <c r="F100" s="2174" t="s">
        <v>6</v>
      </c>
      <c r="G100" s="2175"/>
      <c r="H100" s="2096" t="s">
        <v>108</v>
      </c>
      <c r="I100" s="2097"/>
      <c r="J100" s="2098"/>
      <c r="K100" s="2096" t="s">
        <v>109</v>
      </c>
      <c r="L100" s="2097"/>
      <c r="M100" s="2098"/>
      <c r="N100" s="2096" t="s">
        <v>110</v>
      </c>
      <c r="O100" s="2097"/>
      <c r="P100" s="2098"/>
      <c r="Q100" s="2096" t="s">
        <v>111</v>
      </c>
      <c r="R100" s="2097"/>
      <c r="S100" s="2098"/>
      <c r="T100" s="2096" t="s">
        <v>112</v>
      </c>
      <c r="U100" s="2097"/>
      <c r="V100" s="2098"/>
      <c r="W100" s="2096" t="s">
        <v>113</v>
      </c>
      <c r="X100" s="2097"/>
      <c r="Y100" s="2098"/>
      <c r="Z100" s="2096" t="s">
        <v>114</v>
      </c>
      <c r="AA100" s="2097"/>
      <c r="AB100" s="2098"/>
      <c r="AC100" s="2096" t="s">
        <v>115</v>
      </c>
      <c r="AD100" s="2097"/>
      <c r="AE100" s="2098"/>
      <c r="AF100" s="2096" t="s">
        <v>116</v>
      </c>
      <c r="AG100" s="2097"/>
      <c r="AH100" s="2098"/>
      <c r="AI100" s="2096" t="s">
        <v>117</v>
      </c>
      <c r="AJ100" s="2097"/>
      <c r="AK100" s="2098"/>
      <c r="AL100" s="2096" t="s">
        <v>118</v>
      </c>
      <c r="AM100" s="2097"/>
      <c r="AN100" s="2098"/>
      <c r="AO100" s="2096" t="s">
        <v>119</v>
      </c>
      <c r="AP100" s="2097"/>
      <c r="AQ100" s="2098"/>
      <c r="AR100" s="284"/>
      <c r="AS100" s="393"/>
    </row>
    <row r="101" spans="1:69" ht="17.25" thickBot="1" x14ac:dyDescent="0.3">
      <c r="A101" s="2109" t="s">
        <v>123</v>
      </c>
      <c r="B101" s="2110"/>
      <c r="C101" s="2176"/>
      <c r="D101" s="413" t="s">
        <v>7</v>
      </c>
      <c r="E101" s="414" t="s">
        <v>8</v>
      </c>
      <c r="F101" s="415" t="s">
        <v>7</v>
      </c>
      <c r="G101" s="416" t="s">
        <v>8</v>
      </c>
      <c r="H101" s="2165"/>
      <c r="I101" s="2166"/>
      <c r="J101" s="2167"/>
      <c r="K101" s="2165"/>
      <c r="L101" s="2166"/>
      <c r="M101" s="2167"/>
      <c r="N101" s="2165"/>
      <c r="O101" s="2166"/>
      <c r="P101" s="2167"/>
      <c r="Q101" s="2165"/>
      <c r="R101" s="2166"/>
      <c r="S101" s="2167"/>
      <c r="T101" s="2165"/>
      <c r="U101" s="2166"/>
      <c r="V101" s="2167"/>
      <c r="W101" s="2165"/>
      <c r="X101" s="2166"/>
      <c r="Y101" s="2167"/>
      <c r="Z101" s="2165"/>
      <c r="AA101" s="2166"/>
      <c r="AB101" s="2167"/>
      <c r="AC101" s="2165"/>
      <c r="AD101" s="2166"/>
      <c r="AE101" s="2167"/>
      <c r="AF101" s="2165"/>
      <c r="AG101" s="2166"/>
      <c r="AH101" s="2167"/>
      <c r="AI101" s="2165"/>
      <c r="AJ101" s="2166"/>
      <c r="AK101" s="2167"/>
      <c r="AL101" s="2165"/>
      <c r="AM101" s="2166"/>
      <c r="AN101" s="2167"/>
      <c r="AO101" s="2165"/>
      <c r="AP101" s="2166"/>
      <c r="AQ101" s="2167"/>
      <c r="AR101" s="483"/>
      <c r="AS101" s="484"/>
      <c r="AT101" s="485"/>
      <c r="AU101" s="485"/>
    </row>
    <row r="102" spans="1:69" s="230" customFormat="1" ht="16.5" customHeight="1" x14ac:dyDescent="0.25">
      <c r="A102" s="285" t="s">
        <v>124</v>
      </c>
      <c r="B102" s="286" t="s">
        <v>125</v>
      </c>
      <c r="C102" s="419"/>
      <c r="D102" s="420"/>
      <c r="E102" s="421"/>
      <c r="F102" s="422"/>
      <c r="G102" s="423"/>
      <c r="H102" s="281">
        <f>SQRT(I102^2+J102^2)*1000/(1.73*H90)</f>
        <v>11.883106330196041</v>
      </c>
      <c r="I102" s="282">
        <v>0.73045000000000004</v>
      </c>
      <c r="J102" s="283">
        <v>0.11899999999999999</v>
      </c>
      <c r="K102" s="281">
        <f>SQRT(L102^2+M102^2)*1000/(1.73*K90)</f>
        <v>12.472532768345419</v>
      </c>
      <c r="L102" s="282">
        <v>0.76580000000000004</v>
      </c>
      <c r="M102" s="283">
        <v>0.13020000000000001</v>
      </c>
      <c r="N102" s="281">
        <f>SQRT(O102^2+P102^2)*1000/(1.73*N90)</f>
        <v>11.639338383882441</v>
      </c>
      <c r="O102" s="282">
        <v>0.71575</v>
      </c>
      <c r="P102" s="283">
        <v>0.1148</v>
      </c>
      <c r="Q102" s="281">
        <f>SQRT(R102^2+S102^2)*1000/(1.73*Q90)</f>
        <v>11.984774292563451</v>
      </c>
      <c r="R102" s="282">
        <v>0.73570000000000002</v>
      </c>
      <c r="S102" s="283">
        <v>0.126</v>
      </c>
      <c r="T102" s="281">
        <f>SQRT(U102^2+V102^2)*1000/(1.73*T90)</f>
        <v>13.155581114330699</v>
      </c>
      <c r="U102" s="282">
        <v>0.79869999999999997</v>
      </c>
      <c r="V102" s="283">
        <v>0.1827</v>
      </c>
      <c r="W102" s="281">
        <f>SQRT(X102^2+Y102^2)*1000/(1.73*W90)</f>
        <v>12.770222670097178</v>
      </c>
      <c r="X102" s="282">
        <v>0.77559999999999996</v>
      </c>
      <c r="Y102" s="283">
        <v>0.17605000000000001</v>
      </c>
      <c r="Z102" s="281">
        <f>SQRT(AA102^2+AB102^2)*1000/(1.73*Z90)</f>
        <v>13.311829788583829</v>
      </c>
      <c r="AA102" s="282">
        <v>0.80779999999999996</v>
      </c>
      <c r="AB102" s="283">
        <v>0.18654999999999999</v>
      </c>
      <c r="AC102" s="281">
        <f>SQRT(AD102^2+AE102^2)*1000/(1.73*AC90)</f>
        <v>12.167252926112267</v>
      </c>
      <c r="AD102" s="282">
        <v>0.73955000000000004</v>
      </c>
      <c r="AE102" s="283">
        <v>0.16520000000000001</v>
      </c>
      <c r="AF102" s="281">
        <f>SQRT(AG102^2+AH102^2)*1000/(1.73*AF90)</f>
        <v>12.726891051686575</v>
      </c>
      <c r="AG102" s="282">
        <v>0.77315</v>
      </c>
      <c r="AH102" s="283">
        <v>0.17465</v>
      </c>
      <c r="AI102" s="281">
        <f>SQRT(AJ102^2+AK102^2)*1000/(1.73*AI90)</f>
        <v>12.593941920535165</v>
      </c>
      <c r="AJ102" s="282">
        <v>0.76544999999999996</v>
      </c>
      <c r="AK102" s="283">
        <v>0.17115</v>
      </c>
      <c r="AL102" s="281">
        <f>SQRT(AM102^2+AN102^2)*1000/(1.73*AL90)</f>
        <v>12.974901396407423</v>
      </c>
      <c r="AM102" s="282">
        <v>0.78890000000000005</v>
      </c>
      <c r="AN102" s="283">
        <v>0.17499999999999999</v>
      </c>
      <c r="AO102" s="281">
        <f>SQRT(AP102^2+AQ102^2)*1000/(1.73*AO90)</f>
        <v>12.699383531282026</v>
      </c>
      <c r="AP102" s="282">
        <v>0.77210000000000001</v>
      </c>
      <c r="AQ102" s="283">
        <v>0.17150000000000001</v>
      </c>
      <c r="AR102" s="284"/>
      <c r="AS102" s="393"/>
      <c r="AT102" s="393"/>
      <c r="AU102" s="393"/>
      <c r="AV102" s="231"/>
      <c r="AW102" s="475"/>
      <c r="AX102" s="231"/>
      <c r="AY102" s="231"/>
      <c r="AZ102" s="231"/>
      <c r="BA102" s="231"/>
      <c r="BB102" s="231"/>
      <c r="BC102" s="231"/>
      <c r="BD102" s="231"/>
      <c r="BE102" s="231"/>
      <c r="BF102" s="231"/>
      <c r="BG102" s="231"/>
      <c r="BH102" s="231"/>
      <c r="BI102" s="231"/>
      <c r="BJ102" s="231"/>
      <c r="BK102" s="231"/>
      <c r="BL102" s="231"/>
      <c r="BM102" s="231"/>
      <c r="BN102" s="231"/>
      <c r="BO102" s="231"/>
      <c r="BP102" s="231"/>
      <c r="BQ102" s="231"/>
    </row>
    <row r="103" spans="1:69" s="230" customFormat="1" ht="16.5" customHeight="1" thickBot="1" x14ac:dyDescent="0.3">
      <c r="A103" s="285" t="s">
        <v>124</v>
      </c>
      <c r="B103" s="286" t="s">
        <v>126</v>
      </c>
      <c r="C103" s="419"/>
      <c r="D103" s="424"/>
      <c r="E103" s="316"/>
      <c r="F103" s="425"/>
      <c r="G103" s="426"/>
      <c r="H103" s="302">
        <f>SQRT(I103^2+J103^2)*1000/(1.73*H90)</f>
        <v>27.215126381106735</v>
      </c>
      <c r="I103" s="303">
        <v>1.6789499999999999</v>
      </c>
      <c r="J103" s="304">
        <v>0.2324</v>
      </c>
      <c r="K103" s="302">
        <f>SQRT(L103^2+M103^2)*1000/(1.73*K90)</f>
        <v>26.527899271648085</v>
      </c>
      <c r="L103" s="303">
        <v>1.6369499999999999</v>
      </c>
      <c r="M103" s="304">
        <v>0.22364999999999999</v>
      </c>
      <c r="N103" s="302">
        <f>SQRT(O103^2+P103^2)*1000/(1.73*N90)</f>
        <v>26.439390767986254</v>
      </c>
      <c r="O103" s="303">
        <v>1.631</v>
      </c>
      <c r="P103" s="304">
        <v>0.22645000000000001</v>
      </c>
      <c r="Q103" s="302">
        <f>SQRT(R103^2+S103^2)*1000/(1.73*Q90)</f>
        <v>26.578291282693677</v>
      </c>
      <c r="R103" s="303">
        <v>1.63835</v>
      </c>
      <c r="S103" s="304">
        <v>0.23624999999999999</v>
      </c>
      <c r="T103" s="302">
        <f>SQRT(U103^2+V103^2)*1000/(1.73*T90)</f>
        <v>27.558025913199291</v>
      </c>
      <c r="U103" s="303">
        <v>1.70065</v>
      </c>
      <c r="V103" s="304">
        <v>0.23135</v>
      </c>
      <c r="W103" s="302">
        <f>SQRT(X103^2+Y103^2)*1000/(1.73*W90)</f>
        <v>27.635232030948686</v>
      </c>
      <c r="X103" s="303">
        <v>1.7055499999999999</v>
      </c>
      <c r="Y103" s="304">
        <v>0.23100000000000001</v>
      </c>
      <c r="Z103" s="302">
        <f>SQRT(AA103^2+AB103^2)*1000/(1.73*Z90)</f>
        <v>27.44894708911059</v>
      </c>
      <c r="AA103" s="303">
        <v>1.6936500000000001</v>
      </c>
      <c r="AB103" s="304">
        <v>0.2324</v>
      </c>
      <c r="AC103" s="302">
        <f>SQRT(AD103^2+AE103^2)*1000/(1.73*AC90)</f>
        <v>26.917190050343272</v>
      </c>
      <c r="AD103" s="303">
        <v>1.6607499999999999</v>
      </c>
      <c r="AE103" s="304">
        <v>0.22855</v>
      </c>
      <c r="AF103" s="302">
        <f>SQRT(AG103^2+AH103^2)*1000/(1.73*AF90)</f>
        <v>26.939159345006608</v>
      </c>
      <c r="AG103" s="303">
        <v>1.6614500000000001</v>
      </c>
      <c r="AH103" s="304">
        <v>0.23344999999999999</v>
      </c>
      <c r="AI103" s="302">
        <f>SQRT(AJ103^2+AK103^2)*1000/(1.73*AI90)</f>
        <v>26.87016475138223</v>
      </c>
      <c r="AJ103" s="303">
        <v>1.6576</v>
      </c>
      <c r="AK103" s="304">
        <v>0.22994999999999999</v>
      </c>
      <c r="AL103" s="302">
        <f>SQRT(AM103^2+AN103^2)*1000/(1.73*AL90)</f>
        <v>26.850383908677365</v>
      </c>
      <c r="AM103" s="303">
        <v>1.65655</v>
      </c>
      <c r="AN103" s="304">
        <v>0.22855</v>
      </c>
      <c r="AO103" s="302">
        <f>SQRT(AP103^2+AQ103^2)*1000/(1.73*AO90)</f>
        <v>26.724837129544266</v>
      </c>
      <c r="AP103" s="303">
        <v>1.6488499999999999</v>
      </c>
      <c r="AQ103" s="304">
        <v>0.22714999999999999</v>
      </c>
      <c r="AR103" s="284"/>
      <c r="AS103" s="393"/>
      <c r="AT103" s="393"/>
      <c r="AU103" s="393"/>
      <c r="AV103" s="231"/>
      <c r="AW103" s="475"/>
      <c r="AX103" s="231"/>
      <c r="AY103" s="231"/>
      <c r="AZ103" s="231"/>
      <c r="BA103" s="231"/>
      <c r="BB103" s="231"/>
      <c r="BC103" s="231"/>
      <c r="BD103" s="231"/>
      <c r="BE103" s="231"/>
      <c r="BF103" s="231"/>
      <c r="BG103" s="231"/>
      <c r="BH103" s="231"/>
      <c r="BI103" s="231"/>
      <c r="BJ103" s="231"/>
      <c r="BK103" s="231"/>
      <c r="BL103" s="231"/>
      <c r="BM103" s="231"/>
      <c r="BN103" s="231"/>
      <c r="BO103" s="231"/>
      <c r="BP103" s="231"/>
      <c r="BQ103" s="231"/>
    </row>
    <row r="104" spans="1:69" s="230" customFormat="1" ht="16.5" customHeight="1" x14ac:dyDescent="0.25">
      <c r="A104" s="2068" t="s">
        <v>127</v>
      </c>
      <c r="B104" s="2088"/>
      <c r="C104" s="2088"/>
      <c r="D104" s="2088"/>
      <c r="E104" s="2088"/>
      <c r="F104" s="2088"/>
      <c r="G104" s="2069"/>
      <c r="H104" s="281">
        <f>H102</f>
        <v>11.883106330196041</v>
      </c>
      <c r="I104" s="282">
        <f>I102</f>
        <v>0.73045000000000004</v>
      </c>
      <c r="J104" s="427">
        <f t="shared" ref="J104:AQ105" si="8">J102</f>
        <v>0.11899999999999999</v>
      </c>
      <c r="K104" s="281">
        <f t="shared" si="8"/>
        <v>12.472532768345419</v>
      </c>
      <c r="L104" s="282">
        <f t="shared" si="8"/>
        <v>0.76580000000000004</v>
      </c>
      <c r="M104" s="427">
        <f t="shared" si="8"/>
        <v>0.13020000000000001</v>
      </c>
      <c r="N104" s="281">
        <f t="shared" si="8"/>
        <v>11.639338383882441</v>
      </c>
      <c r="O104" s="282">
        <f t="shared" si="8"/>
        <v>0.71575</v>
      </c>
      <c r="P104" s="427">
        <f t="shared" si="8"/>
        <v>0.1148</v>
      </c>
      <c r="Q104" s="281">
        <f t="shared" si="8"/>
        <v>11.984774292563451</v>
      </c>
      <c r="R104" s="282">
        <f t="shared" si="8"/>
        <v>0.73570000000000002</v>
      </c>
      <c r="S104" s="427">
        <f t="shared" si="8"/>
        <v>0.126</v>
      </c>
      <c r="T104" s="281">
        <f t="shared" si="8"/>
        <v>13.155581114330699</v>
      </c>
      <c r="U104" s="282">
        <f t="shared" si="8"/>
        <v>0.79869999999999997</v>
      </c>
      <c r="V104" s="427">
        <f t="shared" si="8"/>
        <v>0.1827</v>
      </c>
      <c r="W104" s="281">
        <f t="shared" si="8"/>
        <v>12.770222670097178</v>
      </c>
      <c r="X104" s="282">
        <f t="shared" si="8"/>
        <v>0.77559999999999996</v>
      </c>
      <c r="Y104" s="427">
        <f t="shared" si="8"/>
        <v>0.17605000000000001</v>
      </c>
      <c r="Z104" s="281">
        <f t="shared" si="8"/>
        <v>13.311829788583829</v>
      </c>
      <c r="AA104" s="282">
        <f t="shared" si="8"/>
        <v>0.80779999999999996</v>
      </c>
      <c r="AB104" s="427">
        <f t="shared" si="8"/>
        <v>0.18654999999999999</v>
      </c>
      <c r="AC104" s="281">
        <f t="shared" si="8"/>
        <v>12.167252926112267</v>
      </c>
      <c r="AD104" s="282">
        <f t="shared" si="8"/>
        <v>0.73955000000000004</v>
      </c>
      <c r="AE104" s="427">
        <f t="shared" si="8"/>
        <v>0.16520000000000001</v>
      </c>
      <c r="AF104" s="281">
        <f t="shared" si="8"/>
        <v>12.726891051686575</v>
      </c>
      <c r="AG104" s="282">
        <f t="shared" si="8"/>
        <v>0.77315</v>
      </c>
      <c r="AH104" s="427">
        <f t="shared" si="8"/>
        <v>0.17465</v>
      </c>
      <c r="AI104" s="281">
        <f t="shared" si="8"/>
        <v>12.593941920535165</v>
      </c>
      <c r="AJ104" s="282">
        <f t="shared" si="8"/>
        <v>0.76544999999999996</v>
      </c>
      <c r="AK104" s="427">
        <f t="shared" si="8"/>
        <v>0.17115</v>
      </c>
      <c r="AL104" s="281">
        <f t="shared" si="8"/>
        <v>12.974901396407423</v>
      </c>
      <c r="AM104" s="282">
        <f t="shared" si="8"/>
        <v>0.78890000000000005</v>
      </c>
      <c r="AN104" s="427">
        <f t="shared" si="8"/>
        <v>0.17499999999999999</v>
      </c>
      <c r="AO104" s="281">
        <f t="shared" si="8"/>
        <v>12.699383531282026</v>
      </c>
      <c r="AP104" s="282">
        <f t="shared" si="8"/>
        <v>0.77210000000000001</v>
      </c>
      <c r="AQ104" s="427">
        <f t="shared" si="8"/>
        <v>0.17150000000000001</v>
      </c>
      <c r="AS104" s="231"/>
      <c r="AT104" s="231"/>
      <c r="AU104" s="231"/>
      <c r="AV104" s="231"/>
      <c r="AW104" s="475"/>
      <c r="AX104" s="231"/>
      <c r="AY104" s="231"/>
      <c r="AZ104" s="231"/>
      <c r="BA104" s="231"/>
      <c r="BB104" s="231"/>
      <c r="BC104" s="231"/>
      <c r="BD104" s="231"/>
      <c r="BE104" s="231"/>
      <c r="BF104" s="231"/>
      <c r="BG104" s="231"/>
      <c r="BH104" s="231"/>
      <c r="BI104" s="231"/>
      <c r="BJ104" s="231"/>
      <c r="BK104" s="231"/>
      <c r="BL104" s="231"/>
      <c r="BM104" s="231"/>
      <c r="BN104" s="231"/>
      <c r="BO104" s="231"/>
      <c r="BP104" s="231"/>
      <c r="BQ104" s="231"/>
    </row>
    <row r="105" spans="1:69" s="230" customFormat="1" ht="16.5" customHeight="1" thickBot="1" x14ac:dyDescent="0.3">
      <c r="A105" s="2177" t="s">
        <v>128</v>
      </c>
      <c r="B105" s="2178"/>
      <c r="C105" s="2178"/>
      <c r="D105" s="2178"/>
      <c r="E105" s="2178"/>
      <c r="F105" s="2178"/>
      <c r="G105" s="2179"/>
      <c r="H105" s="302">
        <f>H103</f>
        <v>27.215126381106735</v>
      </c>
      <c r="I105" s="303">
        <f>I103</f>
        <v>1.6789499999999999</v>
      </c>
      <c r="J105" s="428">
        <f t="shared" si="8"/>
        <v>0.2324</v>
      </c>
      <c r="K105" s="302">
        <f t="shared" si="8"/>
        <v>26.527899271648085</v>
      </c>
      <c r="L105" s="303">
        <f t="shared" si="8"/>
        <v>1.6369499999999999</v>
      </c>
      <c r="M105" s="428">
        <f t="shared" si="8"/>
        <v>0.22364999999999999</v>
      </c>
      <c r="N105" s="302">
        <f t="shared" si="8"/>
        <v>26.439390767986254</v>
      </c>
      <c r="O105" s="303">
        <f t="shared" si="8"/>
        <v>1.631</v>
      </c>
      <c r="P105" s="428">
        <f t="shared" si="8"/>
        <v>0.22645000000000001</v>
      </c>
      <c r="Q105" s="302">
        <f t="shared" si="8"/>
        <v>26.578291282693677</v>
      </c>
      <c r="R105" s="303">
        <f t="shared" si="8"/>
        <v>1.63835</v>
      </c>
      <c r="S105" s="428">
        <f t="shared" si="8"/>
        <v>0.23624999999999999</v>
      </c>
      <c r="T105" s="302">
        <f t="shared" si="8"/>
        <v>27.558025913199291</v>
      </c>
      <c r="U105" s="303">
        <f t="shared" si="8"/>
        <v>1.70065</v>
      </c>
      <c r="V105" s="428">
        <f t="shared" si="8"/>
        <v>0.23135</v>
      </c>
      <c r="W105" s="302">
        <f t="shared" si="8"/>
        <v>27.635232030948686</v>
      </c>
      <c r="X105" s="303">
        <f t="shared" si="8"/>
        <v>1.7055499999999999</v>
      </c>
      <c r="Y105" s="428">
        <f t="shared" si="8"/>
        <v>0.23100000000000001</v>
      </c>
      <c r="Z105" s="302">
        <f t="shared" si="8"/>
        <v>27.44894708911059</v>
      </c>
      <c r="AA105" s="303">
        <f t="shared" si="8"/>
        <v>1.6936500000000001</v>
      </c>
      <c r="AB105" s="428">
        <f t="shared" si="8"/>
        <v>0.2324</v>
      </c>
      <c r="AC105" s="302">
        <f t="shared" si="8"/>
        <v>26.917190050343272</v>
      </c>
      <c r="AD105" s="303">
        <f t="shared" si="8"/>
        <v>1.6607499999999999</v>
      </c>
      <c r="AE105" s="428">
        <f t="shared" si="8"/>
        <v>0.22855</v>
      </c>
      <c r="AF105" s="302">
        <f t="shared" si="8"/>
        <v>26.939159345006608</v>
      </c>
      <c r="AG105" s="303">
        <f t="shared" si="8"/>
        <v>1.6614500000000001</v>
      </c>
      <c r="AH105" s="428">
        <f t="shared" si="8"/>
        <v>0.23344999999999999</v>
      </c>
      <c r="AI105" s="302">
        <f t="shared" si="8"/>
        <v>26.87016475138223</v>
      </c>
      <c r="AJ105" s="303">
        <f t="shared" si="8"/>
        <v>1.6576</v>
      </c>
      <c r="AK105" s="428">
        <f t="shared" si="8"/>
        <v>0.22994999999999999</v>
      </c>
      <c r="AL105" s="302">
        <f t="shared" si="8"/>
        <v>26.850383908677365</v>
      </c>
      <c r="AM105" s="303">
        <f t="shared" si="8"/>
        <v>1.65655</v>
      </c>
      <c r="AN105" s="428">
        <f t="shared" si="8"/>
        <v>0.22855</v>
      </c>
      <c r="AO105" s="302">
        <f t="shared" si="8"/>
        <v>26.724837129544266</v>
      </c>
      <c r="AP105" s="303">
        <f t="shared" si="8"/>
        <v>1.6488499999999999</v>
      </c>
      <c r="AQ105" s="428">
        <f t="shared" si="8"/>
        <v>0.22714999999999999</v>
      </c>
      <c r="AS105" s="231"/>
      <c r="AT105" s="231"/>
      <c r="AU105" s="231"/>
      <c r="AV105" s="231"/>
      <c r="AW105" s="475"/>
      <c r="AX105" s="231"/>
      <c r="AY105" s="231"/>
      <c r="AZ105" s="231"/>
      <c r="BA105" s="231"/>
      <c r="BB105" s="231"/>
      <c r="BC105" s="231"/>
      <c r="BD105" s="231"/>
      <c r="BE105" s="231"/>
      <c r="BF105" s="231"/>
      <c r="BG105" s="231"/>
      <c r="BH105" s="231"/>
      <c r="BI105" s="231"/>
      <c r="BJ105" s="231"/>
      <c r="BK105" s="231"/>
      <c r="BL105" s="231"/>
      <c r="BM105" s="231"/>
      <c r="BN105" s="231"/>
      <c r="BO105" s="231"/>
      <c r="BP105" s="231"/>
      <c r="BQ105" s="231"/>
    </row>
    <row r="106" spans="1:69" s="230" customFormat="1" ht="16.5" customHeight="1" thickBot="1" x14ac:dyDescent="0.3">
      <c r="A106" s="2072" t="s">
        <v>129</v>
      </c>
      <c r="B106" s="2073"/>
      <c r="C106" s="2073"/>
      <c r="D106" s="2073"/>
      <c r="E106" s="2073"/>
      <c r="F106" s="2073"/>
      <c r="G106" s="2074"/>
      <c r="H106" s="323">
        <f t="shared" ref="H106:AQ106" si="9">H104+H105</f>
        <v>39.098232711302778</v>
      </c>
      <c r="I106" s="320">
        <f>I104+I105</f>
        <v>2.4093999999999998</v>
      </c>
      <c r="J106" s="429">
        <f t="shared" si="9"/>
        <v>0.35139999999999999</v>
      </c>
      <c r="K106" s="323">
        <f t="shared" si="9"/>
        <v>39.000432039993505</v>
      </c>
      <c r="L106" s="320">
        <f t="shared" si="9"/>
        <v>2.4027500000000002</v>
      </c>
      <c r="M106" s="429">
        <f t="shared" si="9"/>
        <v>0.35385</v>
      </c>
      <c r="N106" s="323">
        <f t="shared" si="9"/>
        <v>38.078729151868693</v>
      </c>
      <c r="O106" s="320">
        <f t="shared" si="9"/>
        <v>2.3467500000000001</v>
      </c>
      <c r="P106" s="429">
        <f t="shared" si="9"/>
        <v>0.34125</v>
      </c>
      <c r="Q106" s="323">
        <f t="shared" si="9"/>
        <v>38.563065575257127</v>
      </c>
      <c r="R106" s="320">
        <f t="shared" si="9"/>
        <v>2.37405</v>
      </c>
      <c r="S106" s="429">
        <f t="shared" si="9"/>
        <v>0.36224999999999996</v>
      </c>
      <c r="T106" s="323">
        <f t="shared" si="9"/>
        <v>40.713607027529989</v>
      </c>
      <c r="U106" s="320">
        <f t="shared" si="9"/>
        <v>2.4993499999999997</v>
      </c>
      <c r="V106" s="429">
        <f t="shared" si="9"/>
        <v>0.41405000000000003</v>
      </c>
      <c r="W106" s="323">
        <f t="shared" si="9"/>
        <v>40.405454701045862</v>
      </c>
      <c r="X106" s="320">
        <f t="shared" si="9"/>
        <v>2.48115</v>
      </c>
      <c r="Y106" s="429">
        <f t="shared" si="9"/>
        <v>0.40705000000000002</v>
      </c>
      <c r="Z106" s="323">
        <f t="shared" si="9"/>
        <v>40.760776877694418</v>
      </c>
      <c r="AA106" s="320">
        <f t="shared" si="9"/>
        <v>2.5014500000000002</v>
      </c>
      <c r="AB106" s="429">
        <f t="shared" si="9"/>
        <v>0.41894999999999999</v>
      </c>
      <c r="AC106" s="323">
        <f t="shared" si="9"/>
        <v>39.084442976455541</v>
      </c>
      <c r="AD106" s="320">
        <f t="shared" si="9"/>
        <v>2.4003000000000001</v>
      </c>
      <c r="AE106" s="429">
        <f t="shared" si="9"/>
        <v>0.39375000000000004</v>
      </c>
      <c r="AF106" s="323">
        <f t="shared" si="9"/>
        <v>39.66605039669318</v>
      </c>
      <c r="AG106" s="320">
        <f t="shared" si="9"/>
        <v>2.4346000000000001</v>
      </c>
      <c r="AH106" s="429">
        <f t="shared" si="9"/>
        <v>0.40810000000000002</v>
      </c>
      <c r="AI106" s="323">
        <f t="shared" si="9"/>
        <v>39.464106671917392</v>
      </c>
      <c r="AJ106" s="320">
        <f t="shared" si="9"/>
        <v>2.4230499999999999</v>
      </c>
      <c r="AK106" s="429">
        <f t="shared" si="9"/>
        <v>0.40110000000000001</v>
      </c>
      <c r="AL106" s="323">
        <f t="shared" si="9"/>
        <v>39.82528530508479</v>
      </c>
      <c r="AM106" s="320">
        <f t="shared" si="9"/>
        <v>2.4454500000000001</v>
      </c>
      <c r="AN106" s="429">
        <f t="shared" si="9"/>
        <v>0.40354999999999996</v>
      </c>
      <c r="AO106" s="323">
        <f t="shared" si="9"/>
        <v>39.424220660826293</v>
      </c>
      <c r="AP106" s="320">
        <f t="shared" si="9"/>
        <v>2.4209499999999999</v>
      </c>
      <c r="AQ106" s="429">
        <f t="shared" si="9"/>
        <v>0.39865</v>
      </c>
      <c r="AS106" s="231"/>
      <c r="AT106" s="231"/>
      <c r="AU106" s="231"/>
      <c r="AV106" s="231"/>
      <c r="AW106" s="475"/>
      <c r="AX106" s="231"/>
      <c r="AY106" s="231"/>
      <c r="AZ106" s="231"/>
      <c r="BA106" s="231"/>
      <c r="BB106" s="231"/>
      <c r="BC106" s="231"/>
      <c r="BD106" s="231"/>
      <c r="BE106" s="231"/>
      <c r="BF106" s="231"/>
      <c r="BG106" s="231"/>
      <c r="BH106" s="231"/>
      <c r="BI106" s="231"/>
      <c r="BJ106" s="231"/>
      <c r="BK106" s="231"/>
      <c r="BL106" s="231"/>
      <c r="BM106" s="231"/>
      <c r="BN106" s="231"/>
      <c r="BO106" s="231"/>
      <c r="BP106" s="231"/>
      <c r="BQ106" s="231"/>
    </row>
    <row r="107" spans="1:69" ht="17.25" thickBot="1" x14ac:dyDescent="0.3">
      <c r="A107" s="235"/>
      <c r="B107" s="430"/>
      <c r="C107" s="430"/>
      <c r="D107" s="431"/>
      <c r="E107" s="267"/>
      <c r="F107" s="431"/>
      <c r="G107" s="431"/>
      <c r="H107" s="432"/>
      <c r="I107" s="433"/>
      <c r="J107" s="433"/>
      <c r="K107" s="433"/>
      <c r="L107" s="433"/>
      <c r="M107" s="433"/>
      <c r="N107" s="432"/>
      <c r="O107" s="433"/>
      <c r="P107" s="433"/>
      <c r="Q107" s="432"/>
      <c r="R107" s="433"/>
      <c r="S107" s="433"/>
      <c r="T107" s="432"/>
      <c r="U107" s="433"/>
      <c r="V107" s="433"/>
      <c r="W107" s="432"/>
      <c r="X107" s="433"/>
      <c r="Y107" s="433"/>
      <c r="Z107" s="432"/>
      <c r="AA107" s="433"/>
      <c r="AB107" s="433"/>
      <c r="AC107" s="432"/>
      <c r="AD107" s="433"/>
      <c r="AE107" s="433"/>
      <c r="AF107" s="432"/>
      <c r="AG107" s="433"/>
      <c r="AH107" s="433"/>
      <c r="AI107" s="432"/>
      <c r="AJ107" s="433"/>
      <c r="AK107" s="433"/>
      <c r="AL107" s="432"/>
      <c r="AM107" s="433"/>
      <c r="AN107" s="433"/>
      <c r="AO107" s="432"/>
      <c r="AP107" s="433"/>
      <c r="AQ107" s="433"/>
      <c r="AR107" s="230"/>
      <c r="AW107" s="486"/>
    </row>
    <row r="108" spans="1:69" ht="16.5" x14ac:dyDescent="0.25">
      <c r="A108" s="2104" t="s">
        <v>40</v>
      </c>
      <c r="B108" s="2105"/>
      <c r="C108" s="2133"/>
      <c r="D108" s="2172" t="s">
        <v>5</v>
      </c>
      <c r="E108" s="2173"/>
      <c r="F108" s="2174" t="s">
        <v>6</v>
      </c>
      <c r="G108" s="2175"/>
      <c r="H108" s="2096" t="s">
        <v>108</v>
      </c>
      <c r="I108" s="2097"/>
      <c r="J108" s="2098"/>
      <c r="K108" s="2096" t="s">
        <v>109</v>
      </c>
      <c r="L108" s="2097"/>
      <c r="M108" s="2098"/>
      <c r="N108" s="2096" t="s">
        <v>110</v>
      </c>
      <c r="O108" s="2097"/>
      <c r="P108" s="2098"/>
      <c r="Q108" s="2096" t="s">
        <v>111</v>
      </c>
      <c r="R108" s="2097"/>
      <c r="S108" s="2098"/>
      <c r="T108" s="2096" t="s">
        <v>112</v>
      </c>
      <c r="U108" s="2097"/>
      <c r="V108" s="2098"/>
      <c r="W108" s="2096" t="s">
        <v>113</v>
      </c>
      <c r="X108" s="2097"/>
      <c r="Y108" s="2098"/>
      <c r="Z108" s="2096" t="s">
        <v>114</v>
      </c>
      <c r="AA108" s="2097"/>
      <c r="AB108" s="2098"/>
      <c r="AC108" s="2096" t="s">
        <v>115</v>
      </c>
      <c r="AD108" s="2097"/>
      <c r="AE108" s="2098"/>
      <c r="AF108" s="2096" t="s">
        <v>116</v>
      </c>
      <c r="AG108" s="2097"/>
      <c r="AH108" s="2098"/>
      <c r="AI108" s="2096" t="s">
        <v>117</v>
      </c>
      <c r="AJ108" s="2097"/>
      <c r="AK108" s="2098"/>
      <c r="AL108" s="2096" t="s">
        <v>118</v>
      </c>
      <c r="AM108" s="2097"/>
      <c r="AN108" s="2098"/>
      <c r="AO108" s="2096" t="s">
        <v>119</v>
      </c>
      <c r="AP108" s="2097"/>
      <c r="AQ108" s="2098"/>
      <c r="AR108" s="230"/>
      <c r="AW108" s="486"/>
    </row>
    <row r="109" spans="1:69" ht="17.25" thickBot="1" x14ac:dyDescent="0.3">
      <c r="A109" s="2109" t="s">
        <v>89</v>
      </c>
      <c r="B109" s="2110"/>
      <c r="C109" s="2176"/>
      <c r="D109" s="270" t="s">
        <v>7</v>
      </c>
      <c r="E109" s="271" t="s">
        <v>8</v>
      </c>
      <c r="F109" s="272" t="s">
        <v>7</v>
      </c>
      <c r="G109" s="273" t="s">
        <v>8</v>
      </c>
      <c r="H109" s="2165"/>
      <c r="I109" s="2166"/>
      <c r="J109" s="2167"/>
      <c r="K109" s="2165"/>
      <c r="L109" s="2166"/>
      <c r="M109" s="2167"/>
      <c r="N109" s="2165"/>
      <c r="O109" s="2166"/>
      <c r="P109" s="2167"/>
      <c r="Q109" s="2165"/>
      <c r="R109" s="2166"/>
      <c r="S109" s="2167"/>
      <c r="T109" s="2165"/>
      <c r="U109" s="2166"/>
      <c r="V109" s="2167"/>
      <c r="W109" s="2165"/>
      <c r="X109" s="2166"/>
      <c r="Y109" s="2167"/>
      <c r="Z109" s="2165"/>
      <c r="AA109" s="2166"/>
      <c r="AB109" s="2167"/>
      <c r="AC109" s="2165"/>
      <c r="AD109" s="2166"/>
      <c r="AE109" s="2167"/>
      <c r="AF109" s="2165"/>
      <c r="AG109" s="2166"/>
      <c r="AH109" s="2167"/>
      <c r="AI109" s="2165"/>
      <c r="AJ109" s="2166"/>
      <c r="AK109" s="2167"/>
      <c r="AL109" s="2165"/>
      <c r="AM109" s="2166"/>
      <c r="AN109" s="2167"/>
      <c r="AO109" s="2165"/>
      <c r="AP109" s="2166"/>
      <c r="AQ109" s="2167"/>
      <c r="AR109" s="230"/>
      <c r="AT109" s="487"/>
      <c r="AW109" s="486"/>
    </row>
    <row r="110" spans="1:69" s="230" customFormat="1" ht="16.5" customHeight="1" x14ac:dyDescent="0.25">
      <c r="A110" s="274" t="s">
        <v>130</v>
      </c>
      <c r="B110" s="275" t="s">
        <v>131</v>
      </c>
      <c r="C110" s="276"/>
      <c r="D110" s="420"/>
      <c r="E110" s="421"/>
      <c r="F110" s="422"/>
      <c r="G110" s="449"/>
      <c r="H110" s="434">
        <f>SQRT(I110^2+J110^2)*1000/(1.73*H91)</f>
        <v>148.05337731917911</v>
      </c>
      <c r="I110" s="435">
        <v>2.5960000000000001</v>
      </c>
      <c r="J110" s="436">
        <v>0.29360000000000003</v>
      </c>
      <c r="K110" s="434">
        <f>SQRT(L110^2+M110^2)*1000/(1.73*K91)</f>
        <v>145.4564656248115</v>
      </c>
      <c r="L110" s="435">
        <v>2.5495999999999999</v>
      </c>
      <c r="M110" s="436">
        <v>0.29599999999999999</v>
      </c>
      <c r="N110" s="434">
        <f>SQRT(O110^2+P110^2)*1000/(1.73*N91)</f>
        <v>139.4270579203756</v>
      </c>
      <c r="O110" s="435">
        <v>2.4447999999999999</v>
      </c>
      <c r="P110" s="436">
        <v>0.27600000000000002</v>
      </c>
      <c r="Q110" s="434">
        <f>SQRT(R110^2+S110^2)*1000/(1.73*Q91)</f>
        <v>136.94959977088058</v>
      </c>
      <c r="R110" s="435">
        <v>2.4007999999999998</v>
      </c>
      <c r="S110" s="436">
        <v>0.27600000000000002</v>
      </c>
      <c r="T110" s="434">
        <f>SQRT(U110^2+V110^2)*1000/(1.73*T91)</f>
        <v>139.52425867828671</v>
      </c>
      <c r="U110" s="435">
        <v>2.4424000000000001</v>
      </c>
      <c r="V110" s="436">
        <v>0.31040000000000001</v>
      </c>
      <c r="W110" s="434">
        <f>SQRT(X110^2+Y110^2)*1000/(1.73*W91)</f>
        <v>140.35094700751802</v>
      </c>
      <c r="X110" s="435">
        <v>2.4567999999999999</v>
      </c>
      <c r="Y110" s="436">
        <v>0.31280000000000002</v>
      </c>
      <c r="Z110" s="434">
        <f>SQRT(AA110^2+AB110^2)*1000/(1.73*Z91)</f>
        <v>141.84366631841658</v>
      </c>
      <c r="AA110" s="435">
        <v>2.4815999999999998</v>
      </c>
      <c r="AB110" s="436">
        <v>0.32640000000000002</v>
      </c>
      <c r="AC110" s="434">
        <f>SQRT(AD110^2+AE110^2)*1000/(1.73*AC91)</f>
        <v>142.91524829923569</v>
      </c>
      <c r="AD110" s="435">
        <v>2.5015999999999998</v>
      </c>
      <c r="AE110" s="436">
        <v>0.31919999999999998</v>
      </c>
      <c r="AF110" s="434">
        <f>SQRT(AG110^2+AH110^2)*1000/(1.73*AF91)</f>
        <v>141.69701384319293</v>
      </c>
      <c r="AG110" s="435">
        <v>2.4792000000000001</v>
      </c>
      <c r="AH110" s="436">
        <v>0.32479999999999998</v>
      </c>
      <c r="AI110" s="434">
        <f>SQRT(AJ110^2+AK110^2)*1000/(1.73*AI91)</f>
        <v>141.19934058553818</v>
      </c>
      <c r="AJ110" s="435">
        <v>2.4695999999999998</v>
      </c>
      <c r="AK110" s="436">
        <v>0.33040000000000003</v>
      </c>
      <c r="AL110" s="434">
        <f>SQRT(AM110^2+AN110^2)*1000/(1.73*AL91)</f>
        <v>133.92231067095048</v>
      </c>
      <c r="AM110" s="435">
        <v>2.3424</v>
      </c>
      <c r="AN110" s="436">
        <v>0.31280000000000002</v>
      </c>
      <c r="AO110" s="434">
        <f>SQRT(AP110^2+AQ110^2)*1000/(1.73*AO91)</f>
        <v>129.19184409861816</v>
      </c>
      <c r="AP110" s="435">
        <v>2.2576000000000001</v>
      </c>
      <c r="AQ110" s="436">
        <v>0.31680000000000003</v>
      </c>
      <c r="AR110" s="284"/>
      <c r="AS110" s="393"/>
      <c r="AT110" s="393"/>
      <c r="AU110" s="393"/>
      <c r="AV110" s="231"/>
      <c r="AW110" s="475"/>
      <c r="AX110" s="393"/>
      <c r="AY110" s="393"/>
      <c r="AZ110" s="231"/>
      <c r="BA110" s="231"/>
      <c r="BB110" s="231"/>
      <c r="BC110" s="231"/>
      <c r="BD110" s="231"/>
      <c r="BE110" s="231"/>
      <c r="BF110" s="231"/>
      <c r="BG110" s="231"/>
      <c r="BH110" s="231"/>
      <c r="BI110" s="231"/>
      <c r="BJ110" s="231"/>
      <c r="BK110" s="231"/>
      <c r="BL110" s="231"/>
      <c r="BM110" s="231"/>
      <c r="BN110" s="231"/>
      <c r="BO110" s="231"/>
      <c r="BP110" s="231"/>
      <c r="BQ110" s="231"/>
    </row>
    <row r="111" spans="1:69" s="230" customFormat="1" ht="16.5" customHeight="1" x14ac:dyDescent="0.25">
      <c r="A111" s="285" t="s">
        <v>132</v>
      </c>
      <c r="B111" s="286" t="s">
        <v>133</v>
      </c>
      <c r="C111" s="287"/>
      <c r="D111" s="288"/>
      <c r="E111" s="289"/>
      <c r="F111" s="290"/>
      <c r="G111" s="291"/>
      <c r="H111" s="434">
        <f>SQRT(I111^2+J111^2)*1000/(1.73*H91)</f>
        <v>122.13245987382621</v>
      </c>
      <c r="I111" s="437">
        <v>2.1461999999999999</v>
      </c>
      <c r="J111" s="438">
        <v>0.19620000000000001</v>
      </c>
      <c r="K111" s="434">
        <f>SQRT(L111^2+M111^2)*1000/(1.73*K91)</f>
        <v>120.19312863293592</v>
      </c>
      <c r="L111" s="437">
        <v>2.1120000000000001</v>
      </c>
      <c r="M111" s="438">
        <v>0.19439999999999999</v>
      </c>
      <c r="N111" s="434">
        <f>SQRT(O111^2+P111^2)*1000/(1.73*N91)</f>
        <v>119.24197455020706</v>
      </c>
      <c r="O111" s="437">
        <v>2.0958000000000001</v>
      </c>
      <c r="P111" s="438">
        <v>0.18720000000000001</v>
      </c>
      <c r="Q111" s="434">
        <f>SQRT(R111^2+S111^2)*1000/(1.73*Q91)</f>
        <v>119.0201819249482</v>
      </c>
      <c r="R111" s="437">
        <v>2.0916000000000001</v>
      </c>
      <c r="S111" s="438">
        <v>0.19020000000000001</v>
      </c>
      <c r="T111" s="434">
        <f>SQRT(U111^2+V111^2)*1000/(1.73*T91)</f>
        <v>124.72644004451296</v>
      </c>
      <c r="U111" s="437">
        <v>2.1876000000000002</v>
      </c>
      <c r="V111" s="438">
        <v>0.24179999999999999</v>
      </c>
      <c r="W111" s="434">
        <f>SQRT(X111^2+Y111^2)*1000/(1.73*W91)</f>
        <v>125.29727794499523</v>
      </c>
      <c r="X111" s="437">
        <v>2.1978</v>
      </c>
      <c r="Y111" s="438">
        <v>0.2412</v>
      </c>
      <c r="Z111" s="434">
        <f>SQRT(AA111^2+AB111^2)*1000/(1.73*Z91)</f>
        <v>126.17977961265095</v>
      </c>
      <c r="AA111" s="437">
        <v>2.2134</v>
      </c>
      <c r="AB111" s="438">
        <v>0.24179999999999999</v>
      </c>
      <c r="AC111" s="434">
        <f>SQRT(AD111^2+AE111^2)*1000/(1.73*AC91)</f>
        <v>126.88595576947208</v>
      </c>
      <c r="AD111" s="437">
        <v>2.226</v>
      </c>
      <c r="AE111" s="438">
        <v>0.2412</v>
      </c>
      <c r="AF111" s="434">
        <f>SQRT(AG111^2+AH111^2)*1000/(1.73*AF91)</f>
        <v>125.9732819410616</v>
      </c>
      <c r="AG111" s="437">
        <v>2.2098</v>
      </c>
      <c r="AH111" s="438">
        <v>0.2412</v>
      </c>
      <c r="AI111" s="434">
        <f>SQRT(AJ111^2+AK111^2)*1000/(1.73*AI91)</f>
        <v>126.80013613187087</v>
      </c>
      <c r="AJ111" s="437">
        <v>2.2248000000000001</v>
      </c>
      <c r="AK111" s="438">
        <v>0.2382</v>
      </c>
      <c r="AL111" s="434">
        <f>SQRT(AM111^2+AN111^2)*1000/(1.73*AL91)</f>
        <v>125.73667559020181</v>
      </c>
      <c r="AM111" s="437">
        <v>2.2056</v>
      </c>
      <c r="AN111" s="438">
        <v>0.2412</v>
      </c>
      <c r="AO111" s="434">
        <f>SQRT(AP111^2+AQ111^2)*1000/(1.73*AO91)</f>
        <v>124.47868256576227</v>
      </c>
      <c r="AP111" s="437">
        <v>2.1833999999999998</v>
      </c>
      <c r="AQ111" s="438">
        <v>0.24</v>
      </c>
      <c r="AR111" s="284"/>
      <c r="AS111" s="393"/>
      <c r="AT111" s="393"/>
      <c r="AU111" s="393"/>
      <c r="AV111" s="231"/>
      <c r="AW111" s="475"/>
      <c r="AX111" s="231"/>
      <c r="AY111" s="231"/>
      <c r="AZ111" s="231"/>
      <c r="BA111" s="231"/>
      <c r="BB111" s="231"/>
      <c r="BC111" s="231"/>
      <c r="BD111" s="231"/>
      <c r="BE111" s="231"/>
      <c r="BF111" s="231"/>
      <c r="BG111" s="231"/>
      <c r="BH111" s="231"/>
      <c r="BI111" s="231"/>
      <c r="BJ111" s="231"/>
      <c r="BK111" s="231"/>
      <c r="BL111" s="231"/>
      <c r="BM111" s="231"/>
      <c r="BN111" s="231"/>
      <c r="BO111" s="231"/>
      <c r="BP111" s="231"/>
      <c r="BQ111" s="231"/>
    </row>
    <row r="112" spans="1:69" s="230" customFormat="1" ht="16.5" customHeight="1" x14ac:dyDescent="0.25">
      <c r="A112" s="285" t="s">
        <v>134</v>
      </c>
      <c r="B112" s="286" t="s">
        <v>135</v>
      </c>
      <c r="C112" s="287"/>
      <c r="D112" s="288"/>
      <c r="E112" s="289"/>
      <c r="F112" s="290"/>
      <c r="G112" s="291"/>
      <c r="H112" s="434">
        <f>SQRT(I112^2+J112^2)*1000/(1.73*H91)</f>
        <v>1.6118624791259089</v>
      </c>
      <c r="I112" s="437">
        <v>2.5399999999999999E-2</v>
      </c>
      <c r="J112" s="438">
        <v>1.2800000000000001E-2</v>
      </c>
      <c r="K112" s="434">
        <f>SQRT(L112^2+M112^2)*1000/(1.73*K91)</f>
        <v>1.5435598863988704</v>
      </c>
      <c r="L112" s="437">
        <v>2.4199999999999999E-2</v>
      </c>
      <c r="M112" s="438">
        <v>1.2500000000000001E-2</v>
      </c>
      <c r="N112" s="434">
        <f>SQRT(O112^2+P112^2)*1000/(1.73*N91)</f>
        <v>1.46753591229227</v>
      </c>
      <c r="O112" s="437">
        <v>2.3E-2</v>
      </c>
      <c r="P112" s="438">
        <v>1.1900000000000001E-2</v>
      </c>
      <c r="Q112" s="434">
        <f>SQRT(R112^2+S112^2)*1000/(1.73*Q91)</f>
        <v>1.5517771022329145</v>
      </c>
      <c r="R112" s="437">
        <v>2.41E-2</v>
      </c>
      <c r="S112" s="438">
        <v>1.2999999999999999E-2</v>
      </c>
      <c r="T112" s="434">
        <f>SQRT(U112^2+V112^2)*1000/(1.73*T91)</f>
        <v>2.7273555222879295</v>
      </c>
      <c r="U112" s="437">
        <v>4.1599999999999998E-2</v>
      </c>
      <c r="V112" s="438">
        <v>2.4199999999999999E-2</v>
      </c>
      <c r="W112" s="434">
        <f>SQRT(X112^2+Y112^2)*1000/(1.73*W91)</f>
        <v>2.6299429589054384</v>
      </c>
      <c r="X112" s="437">
        <v>3.9899999999999998E-2</v>
      </c>
      <c r="Y112" s="438">
        <v>2.3699999999999999E-2</v>
      </c>
      <c r="Z112" s="434">
        <f>SQRT(AA112^2+AB112^2)*1000/(1.73*Z91)</f>
        <v>2.5338365014690205</v>
      </c>
      <c r="AA112" s="437">
        <v>3.8100000000000002E-2</v>
      </c>
      <c r="AB112" s="438">
        <v>2.3400000000000001E-2</v>
      </c>
      <c r="AC112" s="434">
        <f>SQRT(AD112^2+AE112^2)*1000/(1.73*AC91)</f>
        <v>2.3171405629846551</v>
      </c>
      <c r="AD112" s="437">
        <v>3.3599999999999998E-2</v>
      </c>
      <c r="AE112" s="438">
        <v>2.3300000000000001E-2</v>
      </c>
      <c r="AF112" s="434">
        <f>SQRT(AG112^2+AH112^2)*1000/(1.73*AF91)</f>
        <v>2.4047881278594936</v>
      </c>
      <c r="AG112" s="437">
        <v>3.5400000000000001E-2</v>
      </c>
      <c r="AH112" s="438">
        <v>2.3400000000000001E-2</v>
      </c>
      <c r="AI112" s="434">
        <f>SQRT(AJ112^2+AK112^2)*1000/(1.73*AI91)</f>
        <v>2.4536568371709691</v>
      </c>
      <c r="AJ112" s="437">
        <v>3.6299999999999999E-2</v>
      </c>
      <c r="AK112" s="438">
        <v>2.3599999999999999E-2</v>
      </c>
      <c r="AL112" s="434">
        <f>SQRT(AM112^2+AN112^2)*1000/(1.73*AL91)</f>
        <v>2.4774608111750109</v>
      </c>
      <c r="AM112" s="437">
        <v>3.6799999999999999E-2</v>
      </c>
      <c r="AN112" s="438">
        <v>2.3599999999999999E-2</v>
      </c>
      <c r="AO112" s="434">
        <f>SQRT(AP112^2+AQ112^2)*1000/(1.73*AO91)</f>
        <v>1.6126592475774983</v>
      </c>
      <c r="AP112" s="437">
        <v>2.3800000000000002E-2</v>
      </c>
      <c r="AQ112" s="438">
        <v>1.5599999999999999E-2</v>
      </c>
      <c r="AR112" s="284"/>
      <c r="AS112" s="393"/>
      <c r="AT112" s="393"/>
      <c r="AU112" s="393"/>
      <c r="AV112" s="231"/>
      <c r="AW112" s="475"/>
      <c r="AX112" s="231"/>
      <c r="AY112" s="231"/>
      <c r="AZ112" s="231"/>
      <c r="BA112" s="231"/>
      <c r="BB112" s="231"/>
      <c r="BC112" s="231"/>
      <c r="BD112" s="231"/>
      <c r="BE112" s="231"/>
      <c r="BF112" s="231"/>
      <c r="BG112" s="231"/>
      <c r="BH112" s="231"/>
      <c r="BI112" s="231"/>
      <c r="BJ112" s="231"/>
      <c r="BK112" s="231"/>
      <c r="BL112" s="231"/>
      <c r="BM112" s="231"/>
      <c r="BN112" s="231"/>
      <c r="BO112" s="231"/>
      <c r="BP112" s="231"/>
      <c r="BQ112" s="231"/>
    </row>
    <row r="113" spans="1:69" s="230" customFormat="1" ht="16.5" customHeight="1" x14ac:dyDescent="0.25">
      <c r="A113" s="285" t="s">
        <v>136</v>
      </c>
      <c r="B113" s="286" t="s">
        <v>137</v>
      </c>
      <c r="C113" s="287"/>
      <c r="D113" s="288"/>
      <c r="E113" s="289"/>
      <c r="F113" s="290"/>
      <c r="G113" s="291"/>
      <c r="H113" s="434">
        <f>SQRT(I113^2+J113^2)*1000/(1.73*H91)</f>
        <v>74.690817917743232</v>
      </c>
      <c r="I113" s="437">
        <v>1.3091999999999999</v>
      </c>
      <c r="J113" s="438">
        <v>0.152</v>
      </c>
      <c r="K113" s="434">
        <f>SQRT(L113^2+M113^2)*1000/(1.73*K91)</f>
        <v>72.81830071982985</v>
      </c>
      <c r="L113" s="437">
        <v>1.2764</v>
      </c>
      <c r="M113" s="438">
        <v>0.14799999999999999</v>
      </c>
      <c r="N113" s="434">
        <f>SQRT(O113^2+P113^2)*1000/(1.73*N91)</f>
        <v>73.187753551702485</v>
      </c>
      <c r="O113" s="437">
        <v>1.2824</v>
      </c>
      <c r="P113" s="438">
        <v>0.15279999999999999</v>
      </c>
      <c r="Q113" s="434">
        <f>SQRT(R113^2+S113^2)*1000/(1.73*Q91)</f>
        <v>74.665493429885103</v>
      </c>
      <c r="R113" s="437">
        <v>1.3071999999999999</v>
      </c>
      <c r="S113" s="438">
        <v>0.1648</v>
      </c>
      <c r="T113" s="434">
        <f>SQRT(U113^2+V113^2)*1000/(1.73*T91)</f>
        <v>76.437248351447991</v>
      </c>
      <c r="U113" s="437">
        <v>1.3335999999999999</v>
      </c>
      <c r="V113" s="438">
        <v>0.20200000000000001</v>
      </c>
      <c r="W113" s="434">
        <f>SQRT(X113^2+Y113^2)*1000/(1.73*W91)</f>
        <v>76.206184019206304</v>
      </c>
      <c r="X113" s="437">
        <v>1.3288</v>
      </c>
      <c r="Y113" s="438">
        <v>0.2064</v>
      </c>
      <c r="Z113" s="434">
        <f>SQRT(AA113^2+AB113^2)*1000/(1.73*Z91)</f>
        <v>76.585333156536308</v>
      </c>
      <c r="AA113" s="437">
        <v>1.3360000000000001</v>
      </c>
      <c r="AB113" s="438">
        <v>0.2036</v>
      </c>
      <c r="AC113" s="434">
        <f>SQRT(AD113^2+AE113^2)*1000/(1.73*AC91)</f>
        <v>78.109510777890407</v>
      </c>
      <c r="AD113" s="437">
        <v>1.3632</v>
      </c>
      <c r="AE113" s="438">
        <v>0.2036</v>
      </c>
      <c r="AF113" s="434">
        <f>SQRT(AG113^2+AH113^2)*1000/(1.73*AF91)</f>
        <v>76.322333814331898</v>
      </c>
      <c r="AG113" s="437">
        <v>1.3331999999999999</v>
      </c>
      <c r="AH113" s="438">
        <v>0.1908</v>
      </c>
      <c r="AI113" s="434">
        <f>SQRT(AJ113^2+AK113^2)*1000/(1.73*AI91)</f>
        <v>77.1013302261143</v>
      </c>
      <c r="AJ113" s="437">
        <v>1.3468</v>
      </c>
      <c r="AK113" s="438">
        <v>0.1928</v>
      </c>
      <c r="AL113" s="434">
        <f>SQRT(AM113^2+AN113^2)*1000/(1.73*AL91)</f>
        <v>75.966916049862263</v>
      </c>
      <c r="AM113" s="437">
        <v>1.3264</v>
      </c>
      <c r="AN113" s="438">
        <v>0.19400000000000001</v>
      </c>
      <c r="AO113" s="434">
        <f>SQRT(AP113^2+AQ113^2)*1000/(1.73*AO91)</f>
        <v>75.232773242930946</v>
      </c>
      <c r="AP113" s="437">
        <v>1.3136000000000001</v>
      </c>
      <c r="AQ113" s="438">
        <v>0.192</v>
      </c>
      <c r="AR113" s="284"/>
      <c r="AS113" s="393"/>
      <c r="AT113" s="393"/>
      <c r="AU113" s="393"/>
      <c r="AV113" s="231"/>
      <c r="AW113" s="475"/>
      <c r="AX113" s="231"/>
      <c r="AY113" s="231"/>
      <c r="AZ113" s="231"/>
      <c r="BA113" s="231"/>
      <c r="BB113" s="231"/>
      <c r="BC113" s="231"/>
      <c r="BD113" s="231"/>
      <c r="BE113" s="231"/>
      <c r="BF113" s="231"/>
      <c r="BG113" s="231"/>
      <c r="BH113" s="231"/>
      <c r="BI113" s="231"/>
      <c r="BJ113" s="231"/>
      <c r="BK113" s="231"/>
      <c r="BL113" s="231"/>
      <c r="BM113" s="231"/>
      <c r="BN113" s="231"/>
      <c r="BO113" s="231"/>
      <c r="BP113" s="231"/>
      <c r="BQ113" s="231"/>
    </row>
    <row r="114" spans="1:69" s="230" customFormat="1" ht="16.5" customHeight="1" x14ac:dyDescent="0.25">
      <c r="A114" s="285" t="s">
        <v>138</v>
      </c>
      <c r="B114" s="286" t="s">
        <v>139</v>
      </c>
      <c r="C114" s="287"/>
      <c r="D114" s="288"/>
      <c r="E114" s="289"/>
      <c r="F114" s="290"/>
      <c r="G114" s="291"/>
      <c r="H114" s="434">
        <f>SQRT(I114^2+J114^2)*1000/(1.73*H91)</f>
        <v>126.71012513961904</v>
      </c>
      <c r="I114" s="437">
        <v>2.2200000000000002</v>
      </c>
      <c r="J114" s="438">
        <v>0.26640000000000003</v>
      </c>
      <c r="K114" s="434">
        <f>SQRT(L114^2+M114^2)*1000/(1.73*K91)</f>
        <v>124.7358898354961</v>
      </c>
      <c r="L114" s="437">
        <v>2.1852</v>
      </c>
      <c r="M114" s="438">
        <v>0.26400000000000001</v>
      </c>
      <c r="N114" s="434">
        <f>SQRT(O114^2+P114^2)*1000/(1.73*N91)</f>
        <v>126.11821920470076</v>
      </c>
      <c r="O114" s="437">
        <v>2.2080000000000002</v>
      </c>
      <c r="P114" s="438">
        <v>0.27839999999999998</v>
      </c>
      <c r="Q114" s="434">
        <f>SQRT(R114^2+S114^2)*1000/(1.73*Q91)</f>
        <v>124.23794567076158</v>
      </c>
      <c r="R114" s="437">
        <v>2.1743999999999999</v>
      </c>
      <c r="S114" s="438">
        <v>0.27960000000000002</v>
      </c>
      <c r="T114" s="434">
        <f>SQRT(U114^2+V114^2)*1000/(1.73*T91)</f>
        <v>130.21339529540663</v>
      </c>
      <c r="U114" s="437">
        <v>2.2776000000000001</v>
      </c>
      <c r="V114" s="438">
        <v>0.30359999999999998</v>
      </c>
      <c r="W114" s="434">
        <f>SQRT(X114^2+Y114^2)*1000/(1.73*W91)</f>
        <v>128.87446052417835</v>
      </c>
      <c r="X114" s="437">
        <v>2.2536</v>
      </c>
      <c r="Y114" s="438">
        <v>0.30480000000000002</v>
      </c>
      <c r="Z114" s="434">
        <f>SQRT(AA114^2+AB114^2)*1000/(1.73*Z91)</f>
        <v>126.60120741203801</v>
      </c>
      <c r="AA114" s="437">
        <v>2.2115999999999998</v>
      </c>
      <c r="AB114" s="438">
        <v>0.31559999999999999</v>
      </c>
      <c r="AC114" s="434">
        <f>SQRT(AD114^2+AE114^2)*1000/(1.73*AC91)</f>
        <v>122.49467963779874</v>
      </c>
      <c r="AD114" s="437">
        <v>2.1396000000000002</v>
      </c>
      <c r="AE114" s="438">
        <v>0.30719999999999997</v>
      </c>
      <c r="AF114" s="434">
        <f>SQRT(AG114^2+AH114^2)*1000/(1.73*AF91)</f>
        <v>122.14733047729383</v>
      </c>
      <c r="AG114" s="437">
        <v>2.13</v>
      </c>
      <c r="AH114" s="438">
        <v>0.33</v>
      </c>
      <c r="AI114" s="434">
        <f>SQRT(AJ114^2+AK114^2)*1000/(1.73*AI91)</f>
        <v>120.3016590018528</v>
      </c>
      <c r="AJ114" s="437">
        <v>2.0975999999999999</v>
      </c>
      <c r="AK114" s="438">
        <v>0.32640000000000002</v>
      </c>
      <c r="AL114" s="434">
        <f>SQRT(AM114^2+AN114^2)*1000/(1.73*AL91)</f>
        <v>116.91038696123024</v>
      </c>
      <c r="AM114" s="437">
        <v>2.04</v>
      </c>
      <c r="AN114" s="438">
        <v>0.30719999999999997</v>
      </c>
      <c r="AO114" s="434">
        <f>SQRT(AP114^2+AQ114^2)*1000/(1.73*AO91)</f>
        <v>115.46213705201241</v>
      </c>
      <c r="AP114" s="437">
        <v>2.0135999999999998</v>
      </c>
      <c r="AQ114" s="438">
        <v>0.31080000000000002</v>
      </c>
      <c r="AR114" s="284"/>
      <c r="AS114" s="393"/>
      <c r="AT114" s="393"/>
      <c r="AU114" s="393"/>
      <c r="AV114" s="231"/>
      <c r="AW114" s="475"/>
      <c r="AX114" s="231"/>
      <c r="AY114" s="231"/>
      <c r="AZ114" s="231"/>
      <c r="BA114" s="231"/>
      <c r="BB114" s="231"/>
      <c r="BC114" s="231"/>
      <c r="BD114" s="231"/>
      <c r="BE114" s="231"/>
      <c r="BF114" s="231"/>
      <c r="BG114" s="231"/>
      <c r="BH114" s="231"/>
      <c r="BI114" s="231"/>
      <c r="BJ114" s="231"/>
      <c r="BK114" s="231"/>
      <c r="BL114" s="231"/>
      <c r="BM114" s="231"/>
      <c r="BN114" s="231"/>
      <c r="BO114" s="231"/>
      <c r="BP114" s="231"/>
      <c r="BQ114" s="231"/>
    </row>
    <row r="115" spans="1:69" s="230" customFormat="1" ht="16.5" customHeight="1" x14ac:dyDescent="0.25">
      <c r="A115" s="285" t="s">
        <v>140</v>
      </c>
      <c r="B115" s="286" t="s">
        <v>141</v>
      </c>
      <c r="C115" s="287"/>
      <c r="D115" s="288"/>
      <c r="E115" s="289"/>
      <c r="F115" s="290"/>
      <c r="G115" s="291"/>
      <c r="H115" s="434">
        <f>SQRT(I115^2+J115^2)*1000/(1.73*H91)</f>
        <v>68.98909574768642</v>
      </c>
      <c r="I115" s="437">
        <v>1.2023999999999999</v>
      </c>
      <c r="J115" s="438">
        <v>0.19040000000000001</v>
      </c>
      <c r="K115" s="434">
        <f>SQRT(L115^2+M115^2)*1000/(1.73*K91)</f>
        <v>70.022602340770533</v>
      </c>
      <c r="L115" s="437">
        <v>1.2216</v>
      </c>
      <c r="M115" s="438">
        <v>0.18559999999999999</v>
      </c>
      <c r="N115" s="434">
        <f>SQRT(O115^2+P115^2)*1000/(1.73*N91)</f>
        <v>68.861883649731084</v>
      </c>
      <c r="O115" s="437">
        <v>1.2</v>
      </c>
      <c r="P115" s="438">
        <v>0.19120000000000001</v>
      </c>
      <c r="Q115" s="434">
        <f>SQRT(R115^2+S115^2)*1000/(1.73*Q91)</f>
        <v>70.391519516645516</v>
      </c>
      <c r="R115" s="437">
        <v>1.2272000000000001</v>
      </c>
      <c r="S115" s="438">
        <v>0.192</v>
      </c>
      <c r="T115" s="434">
        <f>SQRT(U115^2+V115^2)*1000/(1.73*T91)</f>
        <v>74.740715846764886</v>
      </c>
      <c r="U115" s="437">
        <v>1.3008</v>
      </c>
      <c r="V115" s="438">
        <v>0.21759999999999999</v>
      </c>
      <c r="W115" s="434">
        <f>SQRT(X115^2+Y115^2)*1000/(1.73*W91)</f>
        <v>78.392840541391166</v>
      </c>
      <c r="X115" s="437">
        <v>1.3648</v>
      </c>
      <c r="Y115" s="438">
        <v>0.22559999999999999</v>
      </c>
      <c r="Z115" s="434">
        <f>SQRT(AA115^2+AB115^2)*1000/(1.73*Z91)</f>
        <v>77.960785046644574</v>
      </c>
      <c r="AA115" s="437">
        <v>1.3575999999999999</v>
      </c>
      <c r="AB115" s="438">
        <v>0.22239999999999999</v>
      </c>
      <c r="AC115" s="434">
        <f>SQRT(AD115^2+AE115^2)*1000/(1.73*AC91)</f>
        <v>78.996508880736172</v>
      </c>
      <c r="AD115" s="437">
        <v>1.3752</v>
      </c>
      <c r="AE115" s="438">
        <v>0.22800000000000001</v>
      </c>
      <c r="AF115" s="434">
        <f>SQRT(AG115^2+AH115^2)*1000/(1.73*AF91)</f>
        <v>78.407678916782004</v>
      </c>
      <c r="AG115" s="437">
        <v>1.3648</v>
      </c>
      <c r="AH115" s="438">
        <v>0.22720000000000001</v>
      </c>
      <c r="AI115" s="434">
        <f>SQRT(AJ115^2+AK115^2)*1000/(1.73*AI91)</f>
        <v>79.607644302027239</v>
      </c>
      <c r="AJ115" s="437">
        <v>1.3855999999999999</v>
      </c>
      <c r="AK115" s="438">
        <v>0.23119999999999999</v>
      </c>
      <c r="AL115" s="434">
        <f>SQRT(AM115^2+AN115^2)*1000/(1.73*AL91)</f>
        <v>76.292752248007233</v>
      </c>
      <c r="AM115" s="437">
        <v>1.3264</v>
      </c>
      <c r="AN115" s="438">
        <v>0.23039999999999999</v>
      </c>
      <c r="AO115" s="434">
        <f>SQRT(AP115^2+AQ115^2)*1000/(1.73*AO91)</f>
        <v>72.547800496177274</v>
      </c>
      <c r="AP115" s="437">
        <v>1.26</v>
      </c>
      <c r="AQ115" s="438">
        <v>0.22639999999999999</v>
      </c>
      <c r="AR115" s="284"/>
      <c r="AS115" s="393"/>
      <c r="AT115" s="393"/>
      <c r="AU115" s="393"/>
      <c r="AV115" s="231"/>
      <c r="AW115" s="475"/>
      <c r="AX115" s="231"/>
      <c r="AY115" s="231"/>
      <c r="AZ115" s="231"/>
      <c r="BA115" s="231"/>
      <c r="BB115" s="231"/>
      <c r="BC115" s="231"/>
      <c r="BD115" s="231"/>
      <c r="BE115" s="231"/>
      <c r="BF115" s="231"/>
      <c r="BG115" s="231"/>
      <c r="BH115" s="231"/>
      <c r="BI115" s="231"/>
      <c r="BJ115" s="231"/>
      <c r="BK115" s="231"/>
      <c r="BL115" s="231"/>
      <c r="BM115" s="231"/>
      <c r="BN115" s="231"/>
      <c r="BO115" s="231"/>
      <c r="BP115" s="231"/>
      <c r="BQ115" s="231"/>
    </row>
    <row r="116" spans="1:69" s="230" customFormat="1" ht="16.5" customHeight="1" x14ac:dyDescent="0.25">
      <c r="A116" s="285" t="s">
        <v>142</v>
      </c>
      <c r="B116" s="286" t="s">
        <v>143</v>
      </c>
      <c r="C116" s="287"/>
      <c r="D116" s="288"/>
      <c r="E116" s="289"/>
      <c r="F116" s="290"/>
      <c r="G116" s="291"/>
      <c r="H116" s="434">
        <f>SQRT(I116^2+J116^2)*1000/(1.73*H91)</f>
        <v>44.891257052352181</v>
      </c>
      <c r="I116" s="437">
        <v>0.78539999999999999</v>
      </c>
      <c r="J116" s="438">
        <v>0.1032</v>
      </c>
      <c r="K116" s="434">
        <f>SQRT(L116^2+M116^2)*1000/(1.73*K91)</f>
        <v>44.442032223977399</v>
      </c>
      <c r="L116" s="437">
        <v>0.77700000000000002</v>
      </c>
      <c r="M116" s="438">
        <v>0.1062</v>
      </c>
      <c r="N116" s="434">
        <f>SQRT(O116^2+P116^2)*1000/(1.73*N91)</f>
        <v>45.230689077917006</v>
      </c>
      <c r="O116" s="437">
        <v>0.79079999999999995</v>
      </c>
      <c r="P116" s="438">
        <v>0.108</v>
      </c>
      <c r="Q116" s="434">
        <f>SQRT(R116^2+S116^2)*1000/(1.73*Q91)</f>
        <v>44.80196855876347</v>
      </c>
      <c r="R116" s="437">
        <v>0.78420000000000001</v>
      </c>
      <c r="S116" s="438">
        <v>0.1002</v>
      </c>
      <c r="T116" s="434">
        <f>SQRT(U116^2+V116^2)*1000/(1.73*T91)</f>
        <v>47.620934537709758</v>
      </c>
      <c r="U116" s="437">
        <v>0.83099999999999996</v>
      </c>
      <c r="V116" s="438">
        <v>0.12479999999999999</v>
      </c>
      <c r="W116" s="434">
        <f>SQRT(X116^2+Y116^2)*1000/(1.73*W91)</f>
        <v>48.557437190162837</v>
      </c>
      <c r="X116" s="437">
        <v>0.84840000000000004</v>
      </c>
      <c r="Y116" s="438">
        <v>0.12</v>
      </c>
      <c r="Z116" s="434">
        <f>SQRT(AA116^2+AB116^2)*1000/(1.73*Z91)</f>
        <v>48.802641477318716</v>
      </c>
      <c r="AA116" s="437">
        <v>0.85260000000000002</v>
      </c>
      <c r="AB116" s="438">
        <v>0.1212</v>
      </c>
      <c r="AC116" s="434">
        <f>SQRT(AD116^2+AE116^2)*1000/(1.73*AC91)</f>
        <v>48.547959998804799</v>
      </c>
      <c r="AD116" s="437">
        <v>0.84840000000000004</v>
      </c>
      <c r="AE116" s="438">
        <v>0.1188</v>
      </c>
      <c r="AF116" s="434">
        <f>SQRT(AG116^2+AH116^2)*1000/(1.73*AF91)</f>
        <v>47.941911966007567</v>
      </c>
      <c r="AG116" s="437">
        <v>0.83760000000000001</v>
      </c>
      <c r="AH116" s="438">
        <v>0.1188</v>
      </c>
      <c r="AI116" s="434">
        <f>SQRT(AJ116^2+AK116^2)*1000/(1.73*AI91)</f>
        <v>46.860005071531326</v>
      </c>
      <c r="AJ116" s="437">
        <v>0.81840000000000002</v>
      </c>
      <c r="AK116" s="438">
        <v>0.1182</v>
      </c>
      <c r="AL116" s="434">
        <f>SQRT(AM116^2+AN116^2)*1000/(1.73*AL91)</f>
        <v>48.067100403699627</v>
      </c>
      <c r="AM116" s="437">
        <v>0.84</v>
      </c>
      <c r="AN116" s="438">
        <v>0.1176</v>
      </c>
      <c r="AO116" s="434">
        <f>SQRT(AP116^2+AQ116^2)*1000/(1.73*AO91)</f>
        <v>47.999754050123535</v>
      </c>
      <c r="AP116" s="437">
        <v>0.83879999999999999</v>
      </c>
      <c r="AQ116" s="438">
        <v>0.1176</v>
      </c>
      <c r="AR116" s="284"/>
      <c r="AS116" s="393"/>
      <c r="AT116" s="393"/>
      <c r="AU116" s="393"/>
      <c r="AV116" s="231"/>
      <c r="AW116" s="475"/>
      <c r="AX116" s="231"/>
      <c r="AY116" s="231"/>
      <c r="AZ116" s="231"/>
      <c r="BA116" s="231"/>
      <c r="BB116" s="231"/>
      <c r="BC116" s="231"/>
      <c r="BD116" s="231"/>
      <c r="BE116" s="231"/>
      <c r="BF116" s="231"/>
      <c r="BG116" s="231"/>
      <c r="BH116" s="231"/>
      <c r="BI116" s="231"/>
      <c r="BJ116" s="231"/>
      <c r="BK116" s="231"/>
      <c r="BL116" s="231"/>
      <c r="BM116" s="231"/>
      <c r="BN116" s="231"/>
      <c r="BO116" s="231"/>
      <c r="BP116" s="231"/>
      <c r="BQ116" s="231"/>
    </row>
    <row r="117" spans="1:69" s="230" customFormat="1" ht="16.5" customHeight="1" x14ac:dyDescent="0.25">
      <c r="A117" s="285" t="s">
        <v>144</v>
      </c>
      <c r="B117" s="286" t="s">
        <v>145</v>
      </c>
      <c r="C117" s="287"/>
      <c r="D117" s="288"/>
      <c r="E117" s="289"/>
      <c r="F117" s="290"/>
      <c r="G117" s="291"/>
      <c r="H117" s="434">
        <f>SQRT(I117^2+J117^2)*1000/(1.73*H91)</f>
        <v>72.442250633805429</v>
      </c>
      <c r="I117" s="437">
        <v>1.2667999999999999</v>
      </c>
      <c r="J117" s="438">
        <v>0.17119999999999999</v>
      </c>
      <c r="K117" s="434">
        <f>SQRT(L117^2+M117^2)*1000/(1.73*K91)</f>
        <v>70.146160242641358</v>
      </c>
      <c r="L117" s="437">
        <v>1.2263999999999999</v>
      </c>
      <c r="M117" s="438">
        <v>0.1676</v>
      </c>
      <c r="N117" s="434">
        <f>SQRT(O117^2+P117^2)*1000/(1.73*N91)</f>
        <v>70.91423258785548</v>
      </c>
      <c r="O117" s="437">
        <v>1.2403999999999999</v>
      </c>
      <c r="P117" s="438">
        <v>0.16520000000000001</v>
      </c>
      <c r="Q117" s="434">
        <f>SQRT(R117^2+S117^2)*1000/(1.73*Q91)</f>
        <v>70.0335097165555</v>
      </c>
      <c r="R117" s="437">
        <v>1.2252000000000001</v>
      </c>
      <c r="S117" s="438">
        <v>0.16159999999999999</v>
      </c>
      <c r="T117" s="434">
        <f>SQRT(U117^2+V117^2)*1000/(1.73*T91)</f>
        <v>72.802877192772613</v>
      </c>
      <c r="U117" s="437">
        <v>1.2724</v>
      </c>
      <c r="V117" s="438">
        <v>0.1772</v>
      </c>
      <c r="W117" s="434">
        <f>SQRT(X117^2+Y117^2)*1000/(1.73*W91)</f>
        <v>74.069611458240601</v>
      </c>
      <c r="X117" s="437">
        <v>1.2948</v>
      </c>
      <c r="Y117" s="438">
        <v>0.1784</v>
      </c>
      <c r="Z117" s="434">
        <f>SQRT(AA117^2+AB117^2)*1000/(1.73*Z91)</f>
        <v>75.262071629926908</v>
      </c>
      <c r="AA117" s="437">
        <v>1.3156000000000001</v>
      </c>
      <c r="AB117" s="438">
        <v>0.18160000000000001</v>
      </c>
      <c r="AC117" s="434">
        <f>SQRT(AD117^2+AE117^2)*1000/(1.73*AC91)</f>
        <v>75.431686585453221</v>
      </c>
      <c r="AD117" s="437">
        <v>1.3184</v>
      </c>
      <c r="AE117" s="438">
        <v>0.1832</v>
      </c>
      <c r="AF117" s="434">
        <f>SQRT(AG117^2+AH117^2)*1000/(1.73*AF91)</f>
        <v>76.089056681795384</v>
      </c>
      <c r="AG117" s="437">
        <v>1.33</v>
      </c>
      <c r="AH117" s="438">
        <v>0.184</v>
      </c>
      <c r="AI117" s="434">
        <f>SQRT(AJ117^2+AK117^2)*1000/(1.73*AI91)</f>
        <v>76.191338403584425</v>
      </c>
      <c r="AJ117" s="437">
        <v>1.3315999999999999</v>
      </c>
      <c r="AK117" s="438">
        <v>0.18559999999999999</v>
      </c>
      <c r="AL117" s="434">
        <f>SQRT(AM117^2+AN117^2)*1000/(1.73*AL91)</f>
        <v>76.043621551209114</v>
      </c>
      <c r="AM117" s="437">
        <v>1.3288</v>
      </c>
      <c r="AN117" s="438">
        <v>0.18679999999999999</v>
      </c>
      <c r="AO117" s="434">
        <f>SQRT(AP117^2+AQ117^2)*1000/(1.73*AO91)</f>
        <v>74.72275973161841</v>
      </c>
      <c r="AP117" s="437">
        <v>1.3056000000000001</v>
      </c>
      <c r="AQ117" s="438">
        <v>0.18440000000000001</v>
      </c>
      <c r="AR117" s="284"/>
      <c r="AS117" s="393"/>
      <c r="AT117" s="393"/>
      <c r="AU117" s="393"/>
      <c r="AV117" s="231"/>
      <c r="AW117" s="475"/>
      <c r="AX117" s="231"/>
      <c r="AY117" s="231"/>
      <c r="AZ117" s="231"/>
      <c r="BA117" s="231"/>
      <c r="BB117" s="231"/>
      <c r="BC117" s="231"/>
      <c r="BD117" s="231"/>
      <c r="BE117" s="231"/>
      <c r="BF117" s="231"/>
      <c r="BG117" s="231"/>
      <c r="BH117" s="231"/>
      <c r="BI117" s="231"/>
      <c r="BJ117" s="231"/>
      <c r="BK117" s="231"/>
      <c r="BL117" s="231"/>
      <c r="BM117" s="231"/>
      <c r="BN117" s="231"/>
      <c r="BO117" s="231"/>
      <c r="BP117" s="231"/>
      <c r="BQ117" s="231"/>
    </row>
    <row r="118" spans="1:69" s="230" customFormat="1" ht="16.5" customHeight="1" x14ac:dyDescent="0.25">
      <c r="A118" s="285" t="s">
        <v>146</v>
      </c>
      <c r="B118" s="286" t="s">
        <v>147</v>
      </c>
      <c r="C118" s="287"/>
      <c r="D118" s="288"/>
      <c r="E118" s="289"/>
      <c r="F118" s="290"/>
      <c r="G118" s="291"/>
      <c r="H118" s="434">
        <f>SQRT(I118^2+J118^2)*1000/(1.73*H91)</f>
        <v>13.190162281768675</v>
      </c>
      <c r="I118" s="437">
        <v>0.22800000000000001</v>
      </c>
      <c r="J118" s="438">
        <v>4.6800000000000001E-2</v>
      </c>
      <c r="K118" s="434">
        <f>SQRT(L118^2+M118^2)*1000/(1.73*K91)</f>
        <v>12.824900653692886</v>
      </c>
      <c r="L118" s="437">
        <v>0.22259999999999999</v>
      </c>
      <c r="M118" s="438">
        <v>4.0800000000000003E-2</v>
      </c>
      <c r="N118" s="434">
        <f>SQRT(O118^2+P118^2)*1000/(1.73*N91)</f>
        <v>13.284662782189553</v>
      </c>
      <c r="O118" s="437">
        <v>0.22919999999999999</v>
      </c>
      <c r="P118" s="438">
        <v>4.9200000000000001E-2</v>
      </c>
      <c r="Q118" s="434">
        <f>SQRT(R118^2+S118^2)*1000/(1.73*Q91)</f>
        <v>13.153560784688679</v>
      </c>
      <c r="R118" s="437">
        <v>0.2286</v>
      </c>
      <c r="S118" s="438">
        <v>4.02E-2</v>
      </c>
      <c r="T118" s="434">
        <f>SQRT(U118^2+V118^2)*1000/(1.73*T91)</f>
        <v>13.926398840043245</v>
      </c>
      <c r="U118" s="437">
        <v>0.24360000000000001</v>
      </c>
      <c r="V118" s="438">
        <v>3.2399999999999998E-2</v>
      </c>
      <c r="W118" s="434">
        <f>SQRT(X118^2+Y118^2)*1000/(1.73*W91)</f>
        <v>12.320427046342916</v>
      </c>
      <c r="X118" s="437">
        <v>0.2142</v>
      </c>
      <c r="Y118" s="438">
        <v>3.7199999999999997E-2</v>
      </c>
      <c r="Z118" s="434">
        <f>SQRT(AA118^2+AB118^2)*1000/(1.73*Z91)</f>
        <v>12.616406472226842</v>
      </c>
      <c r="AA118" s="437">
        <v>0.21959999999999999</v>
      </c>
      <c r="AB118" s="438">
        <v>3.6600000000000001E-2</v>
      </c>
      <c r="AC118" s="434">
        <f>SQRT(AD118^2+AE118^2)*1000/(1.73*AC91)</f>
        <v>12.507251944331781</v>
      </c>
      <c r="AD118" s="437">
        <v>0.21840000000000001</v>
      </c>
      <c r="AE118" s="438">
        <v>3.1800000000000002E-2</v>
      </c>
      <c r="AF118" s="434">
        <f>SQRT(AG118^2+AH118^2)*1000/(1.73*AF91)</f>
        <v>11.885160088745751</v>
      </c>
      <c r="AG118" s="437">
        <v>0.2064</v>
      </c>
      <c r="AH118" s="438">
        <v>3.7199999999999997E-2</v>
      </c>
      <c r="AI118" s="434">
        <f>SQRT(AJ118^2+AK118^2)*1000/(1.73*AI91)</f>
        <v>11.901005485332124</v>
      </c>
      <c r="AJ118" s="437">
        <v>0.20699999999999999</v>
      </c>
      <c r="AK118" s="438">
        <v>3.5400000000000001E-2</v>
      </c>
      <c r="AL118" s="434">
        <f>SQRT(AM118^2+AN118^2)*1000/(1.73*AL91)</f>
        <v>11.046006394694025</v>
      </c>
      <c r="AM118" s="437">
        <v>0.192</v>
      </c>
      <c r="AN118" s="438">
        <v>3.3599999999999998E-2</v>
      </c>
      <c r="AO118" s="434">
        <f>SQRT(AP118^2+AQ118^2)*1000/(1.73*AO91)</f>
        <v>10.316299663227859</v>
      </c>
      <c r="AP118" s="437">
        <v>0.17879999999999999</v>
      </c>
      <c r="AQ118" s="438">
        <v>3.4200000000000001E-2</v>
      </c>
      <c r="AR118" s="284"/>
      <c r="AS118" s="393"/>
      <c r="AT118" s="393"/>
      <c r="AU118" s="393"/>
      <c r="AV118" s="231"/>
      <c r="AW118" s="475"/>
      <c r="AX118" s="231"/>
      <c r="AY118" s="231"/>
      <c r="AZ118" s="231"/>
      <c r="BA118" s="231"/>
      <c r="BB118" s="231"/>
      <c r="BC118" s="231"/>
      <c r="BD118" s="231"/>
      <c r="BE118" s="231"/>
      <c r="BF118" s="231"/>
      <c r="BG118" s="231"/>
      <c r="BH118" s="231"/>
      <c r="BI118" s="231"/>
      <c r="BJ118" s="231"/>
      <c r="BK118" s="231"/>
      <c r="BL118" s="231"/>
      <c r="BM118" s="231"/>
      <c r="BN118" s="231"/>
      <c r="BO118" s="231"/>
      <c r="BP118" s="231"/>
      <c r="BQ118" s="231"/>
    </row>
    <row r="119" spans="1:69" s="230" customFormat="1" ht="16.5" customHeight="1" x14ac:dyDescent="0.25">
      <c r="A119" s="285" t="s">
        <v>148</v>
      </c>
      <c r="B119" s="286" t="s">
        <v>149</v>
      </c>
      <c r="C119" s="287"/>
      <c r="D119" s="288"/>
      <c r="E119" s="289"/>
      <c r="F119" s="290"/>
      <c r="G119" s="291"/>
      <c r="H119" s="434">
        <f>SQRT(I119^2+J119^2)*1000/(1.73*H91)</f>
        <v>162.32984195904135</v>
      </c>
      <c r="I119" s="437">
        <v>2.8368000000000002</v>
      </c>
      <c r="J119" s="438">
        <v>0.3972</v>
      </c>
      <c r="K119" s="434">
        <f>SQRT(L119^2+M119^2)*1000/(1.73*K91)</f>
        <v>158.97326507592425</v>
      </c>
      <c r="L119" s="437">
        <v>2.778</v>
      </c>
      <c r="M119" s="438">
        <v>0.39</v>
      </c>
      <c r="N119" s="434">
        <f>SQRT(O119^2+P119^2)*1000/(1.73*N91)</f>
        <v>156.72259932873035</v>
      </c>
      <c r="O119" s="437">
        <v>2.7383999999999999</v>
      </c>
      <c r="P119" s="438">
        <v>0.38640000000000002</v>
      </c>
      <c r="Q119" s="434">
        <f>SQRT(R119^2+S119^2)*1000/(1.73*Q91)</f>
        <v>160.38656722278088</v>
      </c>
      <c r="R119" s="437">
        <v>2.802</v>
      </c>
      <c r="S119" s="438">
        <v>0.39839999999999998</v>
      </c>
      <c r="T119" s="434">
        <f>SQRT(U119^2+V119^2)*1000/(1.73*T91)</f>
        <v>165.63454397405638</v>
      </c>
      <c r="U119" s="437">
        <v>2.8896000000000002</v>
      </c>
      <c r="V119" s="438">
        <v>0.43919999999999998</v>
      </c>
      <c r="W119" s="434">
        <f>SQRT(X119^2+Y119^2)*1000/(1.73*W91)</f>
        <v>167.12879555468925</v>
      </c>
      <c r="X119" s="437">
        <v>2.9184000000000001</v>
      </c>
      <c r="Y119" s="438">
        <v>0.42480000000000001</v>
      </c>
      <c r="Z119" s="434">
        <f>SQRT(AA119^2+AB119^2)*1000/(1.73*Z91)</f>
        <v>167.87883985519031</v>
      </c>
      <c r="AA119" s="437">
        <v>2.9316</v>
      </c>
      <c r="AB119" s="438">
        <v>0.42599999999999999</v>
      </c>
      <c r="AC119" s="434">
        <f>SQRT(AD119^2+AE119^2)*1000/(1.73*AC91)</f>
        <v>164.37019479835558</v>
      </c>
      <c r="AD119" s="437">
        <v>2.8692000000000002</v>
      </c>
      <c r="AE119" s="438">
        <v>0.42480000000000001</v>
      </c>
      <c r="AF119" s="434">
        <f>SQRT(AG119^2+AH119^2)*1000/(1.73*AF91)</f>
        <v>166.15907448337623</v>
      </c>
      <c r="AG119" s="437">
        <v>2.9003999999999999</v>
      </c>
      <c r="AH119" s="438">
        <v>0.42959999999999998</v>
      </c>
      <c r="AI119" s="434">
        <f>SQRT(AJ119^2+AK119^2)*1000/(1.73*AI91)</f>
        <v>163.82525911849999</v>
      </c>
      <c r="AJ119" s="437">
        <v>2.8584000000000001</v>
      </c>
      <c r="AK119" s="438">
        <v>0.432</v>
      </c>
      <c r="AL119" s="434">
        <f>SQRT(AM119^2+AN119^2)*1000/(1.73*AL91)</f>
        <v>159.27561685119102</v>
      </c>
      <c r="AM119" s="437">
        <v>2.7791999999999999</v>
      </c>
      <c r="AN119" s="438">
        <v>0.41880000000000001</v>
      </c>
      <c r="AO119" s="434">
        <f>SQRT(AP119^2+AQ119^2)*1000/(1.73*AO91)</f>
        <v>154.4211552260135</v>
      </c>
      <c r="AP119" s="437">
        <v>2.6916000000000002</v>
      </c>
      <c r="AQ119" s="438">
        <v>0.42480000000000001</v>
      </c>
      <c r="AR119" s="284"/>
      <c r="AS119" s="393"/>
      <c r="AT119" s="393"/>
      <c r="AU119" s="393"/>
      <c r="AV119" s="231"/>
      <c r="AW119" s="475"/>
      <c r="AX119" s="231"/>
      <c r="AY119" s="231"/>
      <c r="AZ119" s="231"/>
      <c r="BA119" s="231"/>
      <c r="BB119" s="231"/>
      <c r="BC119" s="231"/>
      <c r="BD119" s="231"/>
      <c r="BE119" s="231"/>
      <c r="BF119" s="231"/>
      <c r="BG119" s="231"/>
      <c r="BH119" s="231"/>
      <c r="BI119" s="231"/>
      <c r="BJ119" s="231"/>
      <c r="BK119" s="231"/>
      <c r="BL119" s="231"/>
      <c r="BM119" s="231"/>
      <c r="BN119" s="231"/>
      <c r="BO119" s="231"/>
      <c r="BP119" s="231"/>
      <c r="BQ119" s="231"/>
    </row>
    <row r="120" spans="1:69" s="230" customFormat="1" ht="16.5" customHeight="1" x14ac:dyDescent="0.25">
      <c r="A120" s="285" t="s">
        <v>150</v>
      </c>
      <c r="B120" s="286" t="s">
        <v>151</v>
      </c>
      <c r="C120" s="287"/>
      <c r="D120" s="288"/>
      <c r="E120" s="289"/>
      <c r="F120" s="290"/>
      <c r="G120" s="291"/>
      <c r="H120" s="434">
        <f>SQRT(I120^2+J120^2)*1000/(1.73*H91)</f>
        <v>75.151001087304962</v>
      </c>
      <c r="I120" s="437">
        <v>1.32</v>
      </c>
      <c r="J120" s="438">
        <v>0.12720000000000001</v>
      </c>
      <c r="K120" s="434">
        <f>SQRT(L120^2+M120^2)*1000/(1.73*K91)</f>
        <v>74.42452761741032</v>
      </c>
      <c r="L120" s="437">
        <v>1.3064</v>
      </c>
      <c r="M120" s="438">
        <v>0.13439999999999999</v>
      </c>
      <c r="N120" s="434">
        <f>SQRT(O120^2+P120^2)*1000/(1.73*N91)</f>
        <v>75.919495827772408</v>
      </c>
      <c r="O120" s="437">
        <v>1.3320000000000001</v>
      </c>
      <c r="P120" s="438">
        <v>0.14319999999999999</v>
      </c>
      <c r="Q120" s="434">
        <f>SQRT(R120^2+S120^2)*1000/(1.73*Q91)</f>
        <v>76.887661181678908</v>
      </c>
      <c r="R120" s="437">
        <v>1.3495999999999999</v>
      </c>
      <c r="S120" s="438">
        <v>0.13919999999999999</v>
      </c>
      <c r="T120" s="434">
        <f>SQRT(U120^2+V120^2)*1000/(1.73*T91)</f>
        <v>79.634504021742046</v>
      </c>
      <c r="U120" s="437">
        <v>1.3959999999999999</v>
      </c>
      <c r="V120" s="438">
        <v>0.1608</v>
      </c>
      <c r="W120" s="434">
        <f>SQRT(X120^2+Y120^2)*1000/(1.73*W91)</f>
        <v>79.448701254547899</v>
      </c>
      <c r="X120" s="437">
        <v>1.3935999999999999</v>
      </c>
      <c r="Y120" s="438">
        <v>0.15279999999999999</v>
      </c>
      <c r="Z120" s="434">
        <f>SQRT(AA120^2+AB120^2)*1000/(1.73*Z91)</f>
        <v>79.289076679791194</v>
      </c>
      <c r="AA120" s="437">
        <v>1.3912</v>
      </c>
      <c r="AB120" s="438">
        <v>0.14879999999999999</v>
      </c>
      <c r="AC120" s="434">
        <f>SQRT(AD120^2+AE120^2)*1000/(1.73*AC91)</f>
        <v>78.412266185390308</v>
      </c>
      <c r="AD120" s="437">
        <v>1.3752</v>
      </c>
      <c r="AE120" s="438">
        <v>0.15279999999999999</v>
      </c>
      <c r="AF120" s="434">
        <f>SQRT(AG120^2+AH120^2)*1000/(1.73*AF91)</f>
        <v>77.446042388167498</v>
      </c>
      <c r="AG120" s="437">
        <v>1.3584000000000001</v>
      </c>
      <c r="AH120" s="438">
        <v>0.14960000000000001</v>
      </c>
      <c r="AI120" s="434">
        <f>SQRT(AJ120^2+AK120^2)*1000/(1.73*AI91)</f>
        <v>74.767523383437023</v>
      </c>
      <c r="AJ120" s="437">
        <v>1.3111999999999999</v>
      </c>
      <c r="AK120" s="438">
        <v>0.1464</v>
      </c>
      <c r="AL120" s="434">
        <f>SQRT(AM120^2+AN120^2)*1000/(1.73*AL91)</f>
        <v>73.611637841609721</v>
      </c>
      <c r="AM120" s="437">
        <v>1.2904</v>
      </c>
      <c r="AN120" s="438">
        <v>0.14879999999999999</v>
      </c>
      <c r="AO120" s="434">
        <f>SQRT(AP120^2+AQ120^2)*1000/(1.73*AO91)</f>
        <v>71.900479601079027</v>
      </c>
      <c r="AP120" s="437">
        <v>1.26</v>
      </c>
      <c r="AQ120" s="438">
        <v>0.14879999999999999</v>
      </c>
      <c r="AR120" s="284"/>
      <c r="AS120" s="393"/>
      <c r="AT120" s="393"/>
      <c r="AU120" s="393"/>
      <c r="AV120" s="231"/>
      <c r="AW120" s="475"/>
      <c r="AX120" s="231"/>
      <c r="AY120" s="231"/>
      <c r="AZ120" s="231"/>
      <c r="BA120" s="231"/>
      <c r="BB120" s="231"/>
      <c r="BC120" s="231"/>
      <c r="BD120" s="231"/>
      <c r="BE120" s="231"/>
      <c r="BF120" s="231"/>
      <c r="BG120" s="231"/>
      <c r="BH120" s="231"/>
      <c r="BI120" s="231"/>
      <c r="BJ120" s="231"/>
      <c r="BK120" s="231"/>
      <c r="BL120" s="231"/>
      <c r="BM120" s="231"/>
      <c r="BN120" s="231"/>
      <c r="BO120" s="231"/>
      <c r="BP120" s="231"/>
      <c r="BQ120" s="231"/>
    </row>
    <row r="121" spans="1:69" s="230" customFormat="1" ht="16.5" customHeight="1" thickBot="1" x14ac:dyDescent="0.3">
      <c r="A121" s="439" t="s">
        <v>152</v>
      </c>
      <c r="B121" s="440" t="s">
        <v>153</v>
      </c>
      <c r="C121" s="452"/>
      <c r="D121" s="453"/>
      <c r="E121" s="454"/>
      <c r="F121" s="455"/>
      <c r="G121" s="456"/>
      <c r="H121" s="446">
        <f>SQRT(I121^2+J121^2)*1000/(1.73*H91)</f>
        <v>157.92707353477098</v>
      </c>
      <c r="I121" s="447">
        <v>2.7744</v>
      </c>
      <c r="J121" s="448">
        <v>0.26240000000000002</v>
      </c>
      <c r="K121" s="446">
        <f>SQRT(L121^2+M121^2)*1000/(1.73*K91)</f>
        <v>155.55446749674314</v>
      </c>
      <c r="L121" s="447">
        <v>2.7328000000000001</v>
      </c>
      <c r="M121" s="448">
        <v>0.2576</v>
      </c>
      <c r="N121" s="446">
        <f>SQRT(O121^2+P121^2)*1000/(1.73*N91)</f>
        <v>154.03529811852331</v>
      </c>
      <c r="O121" s="447">
        <v>2.7063999999999999</v>
      </c>
      <c r="P121" s="448">
        <v>0.252</v>
      </c>
      <c r="Q121" s="446">
        <f>SQRT(R121^2+S121^2)*1000/(1.73*Q91)</f>
        <v>152.47951780350971</v>
      </c>
      <c r="R121" s="447">
        <v>2.6791999999999998</v>
      </c>
      <c r="S121" s="448">
        <v>0.248</v>
      </c>
      <c r="T121" s="446">
        <f>SQRT(U121^2+V121^2)*1000/(1.73*T91)</f>
        <v>155.04721509955127</v>
      </c>
      <c r="U121" s="447">
        <v>2.7191999999999998</v>
      </c>
      <c r="V121" s="448">
        <v>0.3024</v>
      </c>
      <c r="W121" s="446">
        <f>SQRT(X121^2+Y121^2)*1000/(1.73*W91)</f>
        <v>161.5508902316501</v>
      </c>
      <c r="X121" s="447">
        <v>2.8328000000000002</v>
      </c>
      <c r="Y121" s="448">
        <v>0.31919999999999998</v>
      </c>
      <c r="Z121" s="446">
        <f>SQRT(AA121^2+AB121^2)*1000/(1.73*Z91)</f>
        <v>164.18924187056399</v>
      </c>
      <c r="AA121" s="447">
        <v>2.8792</v>
      </c>
      <c r="AB121" s="448">
        <v>0.32319999999999999</v>
      </c>
      <c r="AC121" s="446">
        <f>SQRT(AD121^2+AE121^2)*1000/(1.73*AC91)</f>
        <v>166.10182792114395</v>
      </c>
      <c r="AD121" s="447">
        <v>2.9136000000000002</v>
      </c>
      <c r="AE121" s="448">
        <v>0.31919999999999998</v>
      </c>
      <c r="AF121" s="446">
        <f>SQRT(AG121^2+AH121^2)*1000/(1.73*AF91)</f>
        <v>166.83266679587578</v>
      </c>
      <c r="AG121" s="447">
        <v>2.9256000000000002</v>
      </c>
      <c r="AH121" s="448">
        <v>0.32800000000000001</v>
      </c>
      <c r="AI121" s="446">
        <f>SQRT(AJ121^2+AK121^2)*1000/(1.73*AI91)</f>
        <v>165.72615284273562</v>
      </c>
      <c r="AJ121" s="447">
        <v>2.9064000000000001</v>
      </c>
      <c r="AK121" s="448">
        <v>0.32400000000000001</v>
      </c>
      <c r="AL121" s="446">
        <f>SQRT(AM121^2+AN121^2)*1000/(1.73*AL91)</f>
        <v>164.79011873492766</v>
      </c>
      <c r="AM121" s="447">
        <v>2.8896000000000002</v>
      </c>
      <c r="AN121" s="448">
        <v>0.3256</v>
      </c>
      <c r="AO121" s="446">
        <f>SQRT(AP121^2+AQ121^2)*1000/(1.73*AO91)</f>
        <v>159.13781396108428</v>
      </c>
      <c r="AP121" s="447">
        <v>2.7904</v>
      </c>
      <c r="AQ121" s="448">
        <v>0.31519999999999998</v>
      </c>
      <c r="AR121" s="284"/>
      <c r="AS121" s="393"/>
      <c r="AT121" s="393"/>
      <c r="AU121" s="393"/>
      <c r="AV121" s="393"/>
      <c r="AW121" s="393"/>
      <c r="AX121" s="231"/>
      <c r="AY121" s="231"/>
      <c r="AZ121" s="231"/>
      <c r="BA121" s="231"/>
      <c r="BB121" s="231"/>
      <c r="BC121" s="231"/>
      <c r="BD121" s="231"/>
      <c r="BE121" s="231"/>
      <c r="BF121" s="231"/>
      <c r="BG121" s="231"/>
      <c r="BH121" s="231"/>
      <c r="BI121" s="231"/>
      <c r="BJ121" s="231"/>
      <c r="BK121" s="231"/>
      <c r="BL121" s="231"/>
      <c r="BM121" s="231"/>
      <c r="BN121" s="231"/>
      <c r="BO121" s="231"/>
      <c r="BP121" s="231"/>
      <c r="BQ121" s="231"/>
    </row>
    <row r="122" spans="1:69" s="355" customFormat="1" ht="16.5" customHeight="1" x14ac:dyDescent="0.25">
      <c r="A122" s="488"/>
      <c r="B122" s="489" t="s">
        <v>100</v>
      </c>
      <c r="C122" s="490"/>
      <c r="D122" s="277"/>
      <c r="E122" s="278"/>
      <c r="F122" s="279"/>
      <c r="G122" s="280"/>
      <c r="H122" s="402"/>
      <c r="I122" s="450">
        <v>2.0856E-2</v>
      </c>
      <c r="J122" s="451"/>
      <c r="K122" s="402"/>
      <c r="L122" s="450">
        <v>2.0736000000000001E-2</v>
      </c>
      <c r="M122" s="451"/>
      <c r="N122" s="402"/>
      <c r="O122" s="450">
        <v>2.0808E-2</v>
      </c>
      <c r="P122" s="451"/>
      <c r="Q122" s="402"/>
      <c r="R122" s="450">
        <v>2.112E-2</v>
      </c>
      <c r="S122" s="451"/>
      <c r="T122" s="402"/>
      <c r="U122" s="450">
        <v>2.0784E-2</v>
      </c>
      <c r="V122" s="451"/>
      <c r="W122" s="402"/>
      <c r="X122" s="450">
        <v>2.0951999999999998E-2</v>
      </c>
      <c r="Y122" s="451"/>
      <c r="Z122" s="402"/>
      <c r="AA122" s="450">
        <v>2.1191999999999999E-2</v>
      </c>
      <c r="AB122" s="451"/>
      <c r="AC122" s="402"/>
      <c r="AD122" s="450">
        <v>2.1552000000000002E-2</v>
      </c>
      <c r="AE122" s="451"/>
      <c r="AF122" s="402"/>
      <c r="AG122" s="450">
        <v>2.1479999999999999E-2</v>
      </c>
      <c r="AH122" s="451"/>
      <c r="AI122" s="402"/>
      <c r="AJ122" s="450">
        <v>2.1527999999999999E-2</v>
      </c>
      <c r="AK122" s="451"/>
      <c r="AL122" s="402"/>
      <c r="AM122" s="450">
        <v>2.1384E-2</v>
      </c>
      <c r="AN122" s="451"/>
      <c r="AO122" s="402"/>
      <c r="AP122" s="450">
        <v>2.1527999999999999E-2</v>
      </c>
      <c r="AQ122" s="451"/>
      <c r="AR122" s="284"/>
      <c r="AS122" s="393"/>
      <c r="AT122" s="480"/>
      <c r="AU122" s="393"/>
      <c r="AV122" s="393"/>
      <c r="AW122" s="393"/>
      <c r="AX122" s="231"/>
      <c r="AY122" s="231"/>
      <c r="AZ122" s="231"/>
      <c r="BA122" s="231"/>
      <c r="BB122" s="231"/>
      <c r="BC122" s="231"/>
      <c r="BD122" s="231"/>
      <c r="BE122" s="231"/>
      <c r="BF122" s="231"/>
      <c r="BG122" s="231"/>
      <c r="BH122" s="231"/>
      <c r="BI122" s="231"/>
      <c r="BJ122" s="231"/>
      <c r="BK122" s="231"/>
      <c r="BL122" s="231"/>
      <c r="BM122" s="231"/>
      <c r="BN122" s="231"/>
      <c r="BO122" s="231"/>
      <c r="BP122" s="231"/>
      <c r="BQ122" s="231"/>
    </row>
    <row r="123" spans="1:69" s="230" customFormat="1" ht="16.5" customHeight="1" thickBot="1" x14ac:dyDescent="0.3">
      <c r="A123" s="439"/>
      <c r="B123" s="440" t="s">
        <v>101</v>
      </c>
      <c r="C123" s="452"/>
      <c r="D123" s="453"/>
      <c r="E123" s="454"/>
      <c r="F123" s="455"/>
      <c r="G123" s="456"/>
      <c r="H123" s="457"/>
      <c r="I123" s="458">
        <v>1.1448E-2</v>
      </c>
      <c r="J123" s="459"/>
      <c r="K123" s="457"/>
      <c r="L123" s="458">
        <v>1.1351999999999999E-2</v>
      </c>
      <c r="M123" s="459"/>
      <c r="N123" s="457"/>
      <c r="O123" s="458">
        <v>1.1592E-2</v>
      </c>
      <c r="P123" s="459"/>
      <c r="Q123" s="457"/>
      <c r="R123" s="458">
        <v>1.1592E-2</v>
      </c>
      <c r="S123" s="459"/>
      <c r="T123" s="457"/>
      <c r="U123" s="458">
        <v>1.1712E-2</v>
      </c>
      <c r="V123" s="459"/>
      <c r="W123" s="457"/>
      <c r="X123" s="458">
        <v>1.1712E-2</v>
      </c>
      <c r="Y123" s="459"/>
      <c r="Z123" s="457"/>
      <c r="AA123" s="458">
        <v>1.1856E-2</v>
      </c>
      <c r="AB123" s="459"/>
      <c r="AC123" s="457"/>
      <c r="AD123" s="458">
        <v>1.1712E-2</v>
      </c>
      <c r="AE123" s="459"/>
      <c r="AF123" s="457"/>
      <c r="AG123" s="458">
        <v>1.1736E-2</v>
      </c>
      <c r="AH123" s="459"/>
      <c r="AI123" s="457"/>
      <c r="AJ123" s="458">
        <v>1.1736E-2</v>
      </c>
      <c r="AK123" s="459"/>
      <c r="AL123" s="457"/>
      <c r="AM123" s="458">
        <v>1.176E-2</v>
      </c>
      <c r="AN123" s="459"/>
      <c r="AO123" s="457"/>
      <c r="AP123" s="458">
        <v>1.1520000000000001E-2</v>
      </c>
      <c r="AQ123" s="459"/>
      <c r="AR123" s="284"/>
      <c r="AS123" s="393"/>
      <c r="AT123" s="480"/>
      <c r="AU123" s="393"/>
      <c r="AV123" s="393"/>
      <c r="AW123" s="393"/>
      <c r="AX123" s="231"/>
      <c r="AY123" s="231"/>
      <c r="AZ123" s="231"/>
      <c r="BA123" s="231"/>
      <c r="BB123" s="231"/>
      <c r="BC123" s="231"/>
      <c r="BD123" s="231"/>
      <c r="BE123" s="231"/>
      <c r="BF123" s="231"/>
      <c r="BG123" s="231"/>
      <c r="BH123" s="231"/>
      <c r="BI123" s="231"/>
      <c r="BJ123" s="231"/>
      <c r="BK123" s="231"/>
      <c r="BL123" s="231"/>
      <c r="BM123" s="231"/>
      <c r="BN123" s="231"/>
      <c r="BO123" s="231"/>
      <c r="BP123" s="231"/>
      <c r="BQ123" s="231"/>
    </row>
    <row r="124" spans="1:69" ht="16.5" x14ac:dyDescent="0.25">
      <c r="A124" s="2068" t="s">
        <v>102</v>
      </c>
      <c r="B124" s="2088"/>
      <c r="C124" s="2088"/>
      <c r="D124" s="2088"/>
      <c r="E124" s="2088"/>
      <c r="F124" s="2088"/>
      <c r="G124" s="2069"/>
      <c r="H124" s="281">
        <f>H110+H111+H112+H113+H114+H115</f>
        <v>542.18773847718001</v>
      </c>
      <c r="I124" s="282">
        <f>I110+I111+I112+I113+I114+I115</f>
        <v>9.4992000000000019</v>
      </c>
      <c r="J124" s="283">
        <f>J110+J111+J112+J113+J114+J115</f>
        <v>1.1114000000000002</v>
      </c>
      <c r="K124" s="281">
        <f t="shared" ref="K124:AQ124" si="10">K110+K111+K112+K113+K114+K115</f>
        <v>534.76994704024276</v>
      </c>
      <c r="L124" s="282">
        <f t="shared" si="10"/>
        <v>9.3690000000000015</v>
      </c>
      <c r="M124" s="283">
        <f t="shared" si="10"/>
        <v>1.1004999999999998</v>
      </c>
      <c r="N124" s="281">
        <f t="shared" si="10"/>
        <v>528.30442478900932</v>
      </c>
      <c r="O124" s="282">
        <f t="shared" si="10"/>
        <v>9.2539999999999978</v>
      </c>
      <c r="P124" s="283">
        <f t="shared" si="10"/>
        <v>1.0975000000000001</v>
      </c>
      <c r="Q124" s="281">
        <f t="shared" si="10"/>
        <v>526.81651741535381</v>
      </c>
      <c r="R124" s="282">
        <f t="shared" si="10"/>
        <v>9.2252999999999989</v>
      </c>
      <c r="S124" s="283">
        <f t="shared" si="10"/>
        <v>1.1156000000000001</v>
      </c>
      <c r="T124" s="281">
        <f t="shared" si="10"/>
        <v>548.36941373870718</v>
      </c>
      <c r="U124" s="282">
        <f t="shared" si="10"/>
        <v>9.5836000000000006</v>
      </c>
      <c r="V124" s="283">
        <f t="shared" si="10"/>
        <v>1.2995999999999999</v>
      </c>
      <c r="W124" s="281">
        <f t="shared" si="10"/>
        <v>551.75165299619448</v>
      </c>
      <c r="X124" s="282">
        <f t="shared" si="10"/>
        <v>9.6417000000000019</v>
      </c>
      <c r="Y124" s="283">
        <f t="shared" si="10"/>
        <v>1.3145000000000002</v>
      </c>
      <c r="Z124" s="281">
        <f t="shared" si="10"/>
        <v>551.70460804775541</v>
      </c>
      <c r="AA124" s="282">
        <f t="shared" si="10"/>
        <v>9.6382999999999992</v>
      </c>
      <c r="AB124" s="283">
        <f t="shared" si="10"/>
        <v>1.3331999999999999</v>
      </c>
      <c r="AC124" s="281">
        <f t="shared" si="10"/>
        <v>551.7190439281178</v>
      </c>
      <c r="AD124" s="282">
        <f t="shared" si="10"/>
        <v>9.6391999999999989</v>
      </c>
      <c r="AE124" s="283">
        <f t="shared" si="10"/>
        <v>1.3225</v>
      </c>
      <c r="AF124" s="281">
        <f t="shared" si="10"/>
        <v>546.95242712052186</v>
      </c>
      <c r="AG124" s="282">
        <f t="shared" si="10"/>
        <v>9.5524000000000004</v>
      </c>
      <c r="AH124" s="283">
        <f t="shared" si="10"/>
        <v>1.3373999999999999</v>
      </c>
      <c r="AI124" s="281">
        <f t="shared" si="10"/>
        <v>547.46376708457433</v>
      </c>
      <c r="AJ124" s="282">
        <f t="shared" si="10"/>
        <v>9.5607000000000006</v>
      </c>
      <c r="AK124" s="283">
        <f t="shared" si="10"/>
        <v>1.3426</v>
      </c>
      <c r="AL124" s="281">
        <f t="shared" si="10"/>
        <v>531.30650233142705</v>
      </c>
      <c r="AM124" s="282">
        <f t="shared" si="10"/>
        <v>9.2776000000000014</v>
      </c>
      <c r="AN124" s="283">
        <f t="shared" si="10"/>
        <v>1.3091999999999999</v>
      </c>
      <c r="AO124" s="281">
        <f t="shared" si="10"/>
        <v>518.52589670307862</v>
      </c>
      <c r="AP124" s="282">
        <f t="shared" si="10"/>
        <v>9.0519999999999996</v>
      </c>
      <c r="AQ124" s="283">
        <f t="shared" si="10"/>
        <v>1.3015999999999999</v>
      </c>
      <c r="AR124" s="230"/>
    </row>
    <row r="125" spans="1:69" ht="17.25" thickBot="1" x14ac:dyDescent="0.3">
      <c r="A125" s="2177" t="s">
        <v>103</v>
      </c>
      <c r="B125" s="2178"/>
      <c r="C125" s="2178"/>
      <c r="D125" s="2178"/>
      <c r="E125" s="2178"/>
      <c r="F125" s="2178"/>
      <c r="G125" s="2179"/>
      <c r="H125" s="302">
        <f t="shared" ref="H125:AQ125" si="11">H120+H119+H118+H117+H116+H121</f>
        <v>525.93158654904357</v>
      </c>
      <c r="I125" s="303">
        <f t="shared" si="11"/>
        <v>9.2114000000000011</v>
      </c>
      <c r="J125" s="304">
        <f t="shared" si="11"/>
        <v>1.1079999999999999</v>
      </c>
      <c r="K125" s="302">
        <f t="shared" si="11"/>
        <v>516.36535331038931</v>
      </c>
      <c r="L125" s="303">
        <f t="shared" si="11"/>
        <v>9.0432000000000006</v>
      </c>
      <c r="M125" s="304">
        <f t="shared" si="11"/>
        <v>1.0965999999999998</v>
      </c>
      <c r="N125" s="302">
        <f t="shared" si="11"/>
        <v>516.10697772298818</v>
      </c>
      <c r="O125" s="303">
        <f t="shared" si="11"/>
        <v>9.0372000000000003</v>
      </c>
      <c r="P125" s="304">
        <f t="shared" si="11"/>
        <v>1.1040000000000001</v>
      </c>
      <c r="Q125" s="302">
        <f t="shared" si="11"/>
        <v>517.74278526797718</v>
      </c>
      <c r="R125" s="303">
        <f t="shared" si="11"/>
        <v>9.0687999999999995</v>
      </c>
      <c r="S125" s="304">
        <f t="shared" si="11"/>
        <v>1.0875999999999999</v>
      </c>
      <c r="T125" s="302">
        <f t="shared" si="11"/>
        <v>534.66647366587529</v>
      </c>
      <c r="U125" s="303">
        <f t="shared" si="11"/>
        <v>9.3518000000000008</v>
      </c>
      <c r="V125" s="304">
        <f t="shared" si="11"/>
        <v>1.2368000000000001</v>
      </c>
      <c r="W125" s="302">
        <f t="shared" si="11"/>
        <v>543.07586273563356</v>
      </c>
      <c r="X125" s="303">
        <f t="shared" si="11"/>
        <v>9.5022000000000002</v>
      </c>
      <c r="Y125" s="304">
        <f t="shared" si="11"/>
        <v>1.2323999999999999</v>
      </c>
      <c r="Z125" s="302">
        <f t="shared" si="11"/>
        <v>548.03827798501788</v>
      </c>
      <c r="AA125" s="303">
        <f t="shared" si="11"/>
        <v>9.5898000000000003</v>
      </c>
      <c r="AB125" s="304">
        <f t="shared" si="11"/>
        <v>1.2373999999999998</v>
      </c>
      <c r="AC125" s="302">
        <f t="shared" si="11"/>
        <v>545.37118743347969</v>
      </c>
      <c r="AD125" s="303">
        <f t="shared" si="11"/>
        <v>9.5432000000000006</v>
      </c>
      <c r="AE125" s="304">
        <f t="shared" si="11"/>
        <v>1.2306000000000001</v>
      </c>
      <c r="AF125" s="302">
        <f t="shared" si="11"/>
        <v>546.35391240396825</v>
      </c>
      <c r="AG125" s="303">
        <f t="shared" si="11"/>
        <v>9.5584000000000007</v>
      </c>
      <c r="AH125" s="304">
        <f t="shared" si="11"/>
        <v>1.2472000000000001</v>
      </c>
      <c r="AI125" s="302">
        <f t="shared" si="11"/>
        <v>539.2712843051205</v>
      </c>
      <c r="AJ125" s="303">
        <f t="shared" si="11"/>
        <v>9.4329999999999998</v>
      </c>
      <c r="AK125" s="304">
        <f t="shared" si="11"/>
        <v>1.2416</v>
      </c>
      <c r="AL125" s="302">
        <f t="shared" si="11"/>
        <v>532.83410177733117</v>
      </c>
      <c r="AM125" s="303">
        <f t="shared" si="11"/>
        <v>9.32</v>
      </c>
      <c r="AN125" s="304">
        <f t="shared" si="11"/>
        <v>1.2311999999999999</v>
      </c>
      <c r="AO125" s="302">
        <f t="shared" si="11"/>
        <v>518.49826223314665</v>
      </c>
      <c r="AP125" s="303">
        <f t="shared" si="11"/>
        <v>9.0652000000000008</v>
      </c>
      <c r="AQ125" s="304">
        <f t="shared" si="11"/>
        <v>1.2250000000000001</v>
      </c>
      <c r="AR125" s="230"/>
    </row>
    <row r="126" spans="1:69" ht="17.25" thickBot="1" x14ac:dyDescent="0.3">
      <c r="A126" s="2072" t="s">
        <v>104</v>
      </c>
      <c r="B126" s="2073"/>
      <c r="C126" s="2073"/>
      <c r="D126" s="2073"/>
      <c r="E126" s="2073"/>
      <c r="F126" s="2073"/>
      <c r="G126" s="2074"/>
      <c r="H126" s="323">
        <f>H124+H125</f>
        <v>1068.1193250262236</v>
      </c>
      <c r="I126" s="320">
        <f>I124+I125</f>
        <v>18.710600000000003</v>
      </c>
      <c r="J126" s="321">
        <f>J124+J125</f>
        <v>2.2194000000000003</v>
      </c>
      <c r="K126" s="323">
        <f t="shared" ref="K126:AQ126" si="12">K124+K125</f>
        <v>1051.135300350632</v>
      </c>
      <c r="L126" s="320">
        <f t="shared" si="12"/>
        <v>18.412200000000002</v>
      </c>
      <c r="M126" s="321">
        <f t="shared" si="12"/>
        <v>2.1970999999999998</v>
      </c>
      <c r="N126" s="323">
        <f t="shared" si="12"/>
        <v>1044.4114025119975</v>
      </c>
      <c r="O126" s="320">
        <f t="shared" si="12"/>
        <v>18.291199999999996</v>
      </c>
      <c r="P126" s="321">
        <f t="shared" si="12"/>
        <v>2.2015000000000002</v>
      </c>
      <c r="Q126" s="323">
        <f t="shared" si="12"/>
        <v>1044.559302683331</v>
      </c>
      <c r="R126" s="320">
        <f t="shared" si="12"/>
        <v>18.2941</v>
      </c>
      <c r="S126" s="321">
        <f t="shared" si="12"/>
        <v>2.2031999999999998</v>
      </c>
      <c r="T126" s="323">
        <f t="shared" si="12"/>
        <v>1083.0358874045824</v>
      </c>
      <c r="U126" s="320">
        <f t="shared" si="12"/>
        <v>18.935400000000001</v>
      </c>
      <c r="V126" s="321">
        <f t="shared" si="12"/>
        <v>2.5364</v>
      </c>
      <c r="W126" s="323">
        <f t="shared" si="12"/>
        <v>1094.827515731828</v>
      </c>
      <c r="X126" s="320">
        <f t="shared" si="12"/>
        <v>19.143900000000002</v>
      </c>
      <c r="Y126" s="321">
        <f t="shared" si="12"/>
        <v>2.5468999999999999</v>
      </c>
      <c r="Z126" s="323">
        <f t="shared" si="12"/>
        <v>1099.7428860327732</v>
      </c>
      <c r="AA126" s="320">
        <f t="shared" si="12"/>
        <v>19.228099999999998</v>
      </c>
      <c r="AB126" s="321">
        <f t="shared" si="12"/>
        <v>2.5705999999999998</v>
      </c>
      <c r="AC126" s="323">
        <f t="shared" si="12"/>
        <v>1097.0902313615975</v>
      </c>
      <c r="AD126" s="320">
        <f t="shared" si="12"/>
        <v>19.182400000000001</v>
      </c>
      <c r="AE126" s="321">
        <f t="shared" si="12"/>
        <v>2.5531000000000001</v>
      </c>
      <c r="AF126" s="323">
        <f t="shared" si="12"/>
        <v>1093.3063395244901</v>
      </c>
      <c r="AG126" s="320">
        <f t="shared" si="12"/>
        <v>19.110800000000001</v>
      </c>
      <c r="AH126" s="321">
        <f t="shared" si="12"/>
        <v>2.5846</v>
      </c>
      <c r="AI126" s="323">
        <f t="shared" si="12"/>
        <v>1086.7350513896949</v>
      </c>
      <c r="AJ126" s="320">
        <f t="shared" si="12"/>
        <v>18.9937</v>
      </c>
      <c r="AK126" s="321">
        <f t="shared" si="12"/>
        <v>2.5842000000000001</v>
      </c>
      <c r="AL126" s="323">
        <f t="shared" si="12"/>
        <v>1064.1406041087582</v>
      </c>
      <c r="AM126" s="320">
        <f t="shared" si="12"/>
        <v>18.5976</v>
      </c>
      <c r="AN126" s="321">
        <f t="shared" si="12"/>
        <v>2.5404</v>
      </c>
      <c r="AO126" s="323">
        <f t="shared" si="12"/>
        <v>1037.0241589362254</v>
      </c>
      <c r="AP126" s="320">
        <f t="shared" si="12"/>
        <v>18.1172</v>
      </c>
      <c r="AQ126" s="321">
        <f t="shared" si="12"/>
        <v>2.5266000000000002</v>
      </c>
      <c r="AR126" s="230"/>
    </row>
    <row r="127" spans="1:69" ht="16.5" x14ac:dyDescent="0.25">
      <c r="I127" s="491"/>
      <c r="J127" s="491"/>
      <c r="AR127" s="230"/>
    </row>
    <row r="128" spans="1:69" s="230" customFormat="1" ht="16.5" customHeight="1" thickBot="1" x14ac:dyDescent="0.3">
      <c r="A128" s="325" t="s">
        <v>19</v>
      </c>
      <c r="B128" s="231"/>
      <c r="C128" s="231"/>
      <c r="D128" s="231"/>
      <c r="E128" s="231"/>
      <c r="F128" s="231"/>
      <c r="G128" s="231"/>
      <c r="H128" s="326"/>
      <c r="I128" s="327"/>
      <c r="J128" s="266"/>
      <c r="K128" s="328"/>
      <c r="L128" s="328"/>
      <c r="M128" s="328"/>
      <c r="N128" s="328"/>
      <c r="O128" s="328"/>
      <c r="P128" s="328"/>
      <c r="Q128" s="328"/>
      <c r="R128" s="328"/>
      <c r="S128" s="328"/>
      <c r="T128" s="328"/>
      <c r="U128" s="328"/>
      <c r="V128" s="328"/>
      <c r="W128" s="328"/>
      <c r="X128" s="328"/>
      <c r="Y128" s="328"/>
      <c r="Z128" s="328"/>
      <c r="AA128" s="328"/>
      <c r="AB128" s="328"/>
      <c r="AC128" s="328"/>
      <c r="AD128" s="328"/>
      <c r="AE128" s="328"/>
      <c r="AF128" s="328"/>
      <c r="AG128" s="328"/>
      <c r="AH128" s="328"/>
      <c r="AI128" s="328"/>
      <c r="AJ128" s="328"/>
      <c r="AK128" s="328"/>
      <c r="AL128" s="328"/>
      <c r="AM128" s="328"/>
      <c r="AN128" s="328"/>
      <c r="AO128" s="328"/>
      <c r="AP128" s="328"/>
      <c r="AQ128" s="328"/>
      <c r="AS128" s="231"/>
      <c r="AT128" s="231"/>
      <c r="AU128" s="231"/>
      <c r="AV128" s="231"/>
      <c r="AW128" s="231"/>
      <c r="AX128" s="231"/>
      <c r="AY128" s="231"/>
      <c r="AZ128" s="231"/>
      <c r="BA128" s="231"/>
      <c r="BB128" s="231"/>
      <c r="BC128" s="231"/>
      <c r="BD128" s="231"/>
      <c r="BE128" s="231"/>
      <c r="BF128" s="231"/>
      <c r="BG128" s="231"/>
      <c r="BH128" s="231"/>
      <c r="BI128" s="231"/>
      <c r="BJ128" s="231"/>
      <c r="BK128" s="231"/>
      <c r="BL128" s="231"/>
      <c r="BM128" s="231"/>
      <c r="BN128" s="231"/>
      <c r="BO128" s="231"/>
      <c r="BP128" s="231"/>
      <c r="BQ128" s="231"/>
    </row>
    <row r="129" spans="1:81" s="230" customFormat="1" ht="16.5" customHeight="1" x14ac:dyDescent="0.25">
      <c r="A129" s="2061" t="s">
        <v>0</v>
      </c>
      <c r="B129" s="329" t="s">
        <v>22</v>
      </c>
      <c r="C129" s="330"/>
      <c r="D129" s="330" t="s">
        <v>45</v>
      </c>
      <c r="E129" s="330"/>
      <c r="F129" s="330"/>
      <c r="G129" s="331"/>
      <c r="H129" s="332">
        <f>$C$61/1000</f>
        <v>2.3E-2</v>
      </c>
      <c r="I129" s="333" t="s">
        <v>2</v>
      </c>
      <c r="J129" s="334">
        <f>$G$61/1000</f>
        <v>0.158</v>
      </c>
      <c r="K129" s="332">
        <f>$C$61/1000</f>
        <v>2.3E-2</v>
      </c>
      <c r="L129" s="333" t="s">
        <v>2</v>
      </c>
      <c r="M129" s="334">
        <f>$G$61/1000</f>
        <v>0.158</v>
      </c>
      <c r="N129" s="332">
        <f>$C$61/1000</f>
        <v>2.3E-2</v>
      </c>
      <c r="O129" s="333" t="s">
        <v>2</v>
      </c>
      <c r="P129" s="334">
        <f>$G$61/1000</f>
        <v>0.158</v>
      </c>
      <c r="Q129" s="332">
        <f>$C$61/1000</f>
        <v>2.3E-2</v>
      </c>
      <c r="R129" s="333" t="s">
        <v>2</v>
      </c>
      <c r="S129" s="334">
        <f>$G$61/1000</f>
        <v>0.158</v>
      </c>
      <c r="T129" s="332">
        <f>$C$61/1000</f>
        <v>2.3E-2</v>
      </c>
      <c r="U129" s="333" t="s">
        <v>2</v>
      </c>
      <c r="V129" s="334">
        <f>$G$61/1000</f>
        <v>0.158</v>
      </c>
      <c r="W129" s="332">
        <f>$C$61/1000</f>
        <v>2.3E-2</v>
      </c>
      <c r="X129" s="333" t="s">
        <v>2</v>
      </c>
      <c r="Y129" s="334">
        <f>$G$61/1000</f>
        <v>0.158</v>
      </c>
      <c r="Z129" s="332">
        <f>$C$61/1000</f>
        <v>2.3E-2</v>
      </c>
      <c r="AA129" s="333" t="s">
        <v>2</v>
      </c>
      <c r="AB129" s="334">
        <f>$G$61/1000</f>
        <v>0.158</v>
      </c>
      <c r="AC129" s="332">
        <f>$C$61/1000</f>
        <v>2.3E-2</v>
      </c>
      <c r="AD129" s="333" t="s">
        <v>2</v>
      </c>
      <c r="AE129" s="334">
        <f>$G$61/1000</f>
        <v>0.158</v>
      </c>
      <c r="AF129" s="332">
        <f>$C$61/1000</f>
        <v>2.3E-2</v>
      </c>
      <c r="AG129" s="333" t="s">
        <v>2</v>
      </c>
      <c r="AH129" s="334">
        <f>$G$61/1000</f>
        <v>0.158</v>
      </c>
      <c r="AI129" s="332">
        <f>$C$61/1000</f>
        <v>2.3E-2</v>
      </c>
      <c r="AJ129" s="333" t="s">
        <v>2</v>
      </c>
      <c r="AK129" s="334">
        <f>$G$61/1000</f>
        <v>0.158</v>
      </c>
      <c r="AL129" s="332">
        <f>$C$61/1000</f>
        <v>2.3E-2</v>
      </c>
      <c r="AM129" s="333" t="s">
        <v>2</v>
      </c>
      <c r="AN129" s="334">
        <f>$G$61/1000</f>
        <v>0.158</v>
      </c>
      <c r="AO129" s="332">
        <f>$C$61/1000</f>
        <v>2.3E-2</v>
      </c>
      <c r="AP129" s="333" t="s">
        <v>2</v>
      </c>
      <c r="AQ129" s="334">
        <f>$G$61/1000</f>
        <v>0.158</v>
      </c>
      <c r="AR129" s="284"/>
      <c r="AS129" s="231"/>
      <c r="AT129" s="231"/>
      <c r="AU129" s="231"/>
      <c r="AV129" s="231"/>
      <c r="AW129" s="231"/>
      <c r="AX129" s="231"/>
      <c r="AY129" s="231"/>
      <c r="AZ129" s="231"/>
      <c r="BA129" s="231"/>
      <c r="BB129" s="231"/>
      <c r="BC129" s="231"/>
      <c r="BD129" s="231"/>
      <c r="BE129" s="231"/>
      <c r="BF129" s="231"/>
      <c r="BG129" s="231"/>
      <c r="BH129" s="231"/>
      <c r="BI129" s="231"/>
      <c r="BJ129" s="231"/>
      <c r="BK129" s="231"/>
      <c r="BL129" s="231"/>
      <c r="BM129" s="231"/>
      <c r="BN129" s="231"/>
      <c r="BO129" s="231"/>
      <c r="BP129" s="231"/>
      <c r="BQ129" s="231"/>
    </row>
    <row r="130" spans="1:81" s="230" customFormat="1" ht="16.5" customHeight="1" thickBot="1" x14ac:dyDescent="0.3">
      <c r="A130" s="2062"/>
      <c r="B130" s="335" t="s">
        <v>23</v>
      </c>
      <c r="C130" s="336"/>
      <c r="D130" s="336" t="s">
        <v>24</v>
      </c>
      <c r="E130" s="336"/>
      <c r="F130" s="336"/>
      <c r="G130" s="337"/>
      <c r="H130" s="338">
        <f>(((I77^2+J77^2)*$C$62/1000)+((I78^2+J78^2)*$G$62/1000)+((I79^2+J79^2)*$J$62/1000))/($C$7*$C$7)</f>
        <v>7.4932009924200807E-2</v>
      </c>
      <c r="I130" s="339" t="s">
        <v>2</v>
      </c>
      <c r="J130" s="340">
        <f>(((I77^2+J77^2)*$M$62)+((I78^2+J78^2)*$P$62)+((I79^2+J79^2)*S132))/(100*$C$7)</f>
        <v>1.0558154866633225</v>
      </c>
      <c r="K130" s="338">
        <f>(((L77^2+M77^2)*$C$62/1000)+((L78^2+M78^2)*$G$62/1000)+((L79^2+M79^2)*$J$62/1000))/($C$7*$C$7)</f>
        <v>7.3116631046696884E-2</v>
      </c>
      <c r="L130" s="339" t="s">
        <v>2</v>
      </c>
      <c r="M130" s="340">
        <f>(((L77^2+M77^2)*$M$62)+((L78^2+M78^2)*$P$62)+((L79^2+M79^2)*V132))/(100*$C$7)</f>
        <v>0.69953597524999989</v>
      </c>
      <c r="N130" s="338">
        <f>(((O77^2+P77^2)*$C$62/1000)+((O78^2+P78^2)*$G$62/1000)+((O79^2+P79^2)*$J$62/1000))/($C$7*$C$7)</f>
        <v>7.1132740047478882E-2</v>
      </c>
      <c r="O130" s="339" t="s">
        <v>2</v>
      </c>
      <c r="P130" s="340">
        <f>(((O77^2+P77^2)*$M$62)+((O78^2+P78^2)*$P$62)+((O79^2+P79^2)*Y132))/(100*$C$7)</f>
        <v>0.6749217256140625</v>
      </c>
      <c r="Q130" s="338">
        <f>(((R77^2+S77^2)*$C$62/1000)+((R78^2+S78^2)*$G$62/1000)+((R79^2+S79^2)*$J$62/1000))/($C$7*$C$7)</f>
        <v>7.0866842230312491E-2</v>
      </c>
      <c r="R130" s="339" t="s">
        <v>2</v>
      </c>
      <c r="S130" s="340">
        <f>(((R77^2+S77^2)*$M$62)+((R78^2+S78^2)*$P$62)+((R79^2+S79^2)*AB132))/(100*$C$7)</f>
        <v>0.67567883245624993</v>
      </c>
      <c r="T130" s="338">
        <f>(((U77^2+V77^2)*$C$62/1000)+((U78^2+V78^2)*$G$62/1000)+((U79^2+V79^2)*$J$62/1000))/($C$7*$C$7)</f>
        <v>7.7044570827806261E-2</v>
      </c>
      <c r="U130" s="339" t="s">
        <v>2</v>
      </c>
      <c r="V130" s="340">
        <f>(((U77^2+V77^2)*$M$62)+((U78^2+V78^2)*$P$62)+((U79^2+V79^2)*AE132))/(100*$C$7)</f>
        <v>0.74211580651249998</v>
      </c>
      <c r="W130" s="338">
        <f>(((X77^2+Y77^2)*$C$62/1000)+((X78^2+Y78^2)*$G$62/1000)+((X79^2+Y79^2)*$J$62/1000))/($C$7*$C$7)</f>
        <v>7.7846765346057042E-2</v>
      </c>
      <c r="X130" s="339" t="s">
        <v>2</v>
      </c>
      <c r="Y130" s="340">
        <f>(((X77^2+Y77^2)*$M$62)+((X78^2+Y78^2)*$P$62)+((X79^2+Y79^2)*AH132))/(100*$C$7)</f>
        <v>0.74604307792656244</v>
      </c>
      <c r="Z130" s="338">
        <f>(((AA77^2+AB77^2)*$C$62/1000)+((AA78^2+AB78^2)*$G$62/1000)+((AA79^2+AB79^2)*$J$62/1000))/($C$7*$C$7)</f>
        <v>7.7972896710291395E-2</v>
      </c>
      <c r="AA130" s="339" t="s">
        <v>2</v>
      </c>
      <c r="AB130" s="340">
        <f>(((AA77^2+AB77^2)*$M$62)+((AA78^2+AB78^2)*$P$62)+((AA79^2+AB79^2)*AK132))/(100*$C$7)</f>
        <v>0.75073099901406248</v>
      </c>
      <c r="AC130" s="338">
        <f>(((AD77^2+AE77^2)*$C$62/1000)+((AD78^2+AE78^2)*$G$62/1000)+((AD79^2+AE79^2)*$J$62/1000))/($C$7*$C$7)</f>
        <v>7.7676167423635145E-2</v>
      </c>
      <c r="AD130" s="339" t="s">
        <v>2</v>
      </c>
      <c r="AE130" s="340">
        <f>(((AD77^2+AE77^2)*$M$62)+((AD78^2+AE78^2)*$P$62)+((AD79^2+AE79^2)*AN132))/(100*$C$7)</f>
        <v>0.74038153620156255</v>
      </c>
      <c r="AF130" s="338">
        <f>(((AG77^2+AH77^2)*$C$62/1000)+((AG78^2+AH78^2)*$G$62/1000)+((AG79^2+AH79^2)*$J$62/1000))/($C$7*$C$7)</f>
        <v>7.6525186255507818E-2</v>
      </c>
      <c r="AG130" s="339" t="s">
        <v>2</v>
      </c>
      <c r="AH130" s="340">
        <f>(((AG77^2+AH77^2)*$M$62)+((AG78^2+AH78^2)*$P$62)+((AG79^2+AH79^2)*AQ132))/(100*$C$7)</f>
        <v>0.73404468136562495</v>
      </c>
      <c r="AI130" s="338">
        <f>(((AJ77^2+AK77^2)*$C$62/1000)+((AJ78^2+AK78^2)*$G$62/1000)+((AJ79^2+AK79^2)*$J$62/1000))/($C$7*$C$7)</f>
        <v>7.66245018900297E-2</v>
      </c>
      <c r="AJ130" s="339" t="s">
        <v>2</v>
      </c>
      <c r="AK130" s="340">
        <f>(((AJ77^2+AK77^2)*$M$62)+((AJ78^2+AK78^2)*$P$62)+((AJ79^2+AK79^2)*AT132))/(100*$C$7)</f>
        <v>0.73390594521562502</v>
      </c>
      <c r="AL130" s="338">
        <f>(((AM77^2+AN77^2)*$C$62/1000)+((AM78^2+AN78^2)*$G$62/1000)+((AM79^2+AN79^2)*$J$62/1000))/($C$7*$C$7)</f>
        <v>7.234618914585314E-2</v>
      </c>
      <c r="AM130" s="339" t="s">
        <v>2</v>
      </c>
      <c r="AN130" s="340">
        <f>(((AM77^2+AN77^2)*$M$62)+((AM78^2+AN78^2)*$P$62)+((AM79^2+AN79^2)*AW132))/(100*$C$7)</f>
        <v>0.69734040473125003</v>
      </c>
      <c r="AO130" s="338">
        <f>(((AP77^2+AQ77^2)*$C$62/1000)+((AP78^2+AQ78^2)*$G$62/1000)+((AP79^2+AQ79^2)*$J$62/1000))/($C$7*$C$7)</f>
        <v>6.8945632781318739E-2</v>
      </c>
      <c r="AP130" s="339" t="s">
        <v>2</v>
      </c>
      <c r="AQ130" s="340">
        <f>(((AP77^2+AQ77^2)*$M$62)+((AP78^2+AQ78^2)*$P$62)+((AP79^2+AQ79^2)*AZ132))/(100*$C$7)</f>
        <v>0.66491031276250012</v>
      </c>
      <c r="AR130" s="284"/>
      <c r="AS130" s="231"/>
      <c r="AT130" s="231"/>
      <c r="AU130" s="231"/>
      <c r="AV130" s="231"/>
      <c r="AW130" s="231"/>
      <c r="AX130" s="231"/>
      <c r="AY130" s="231"/>
      <c r="AZ130" s="231"/>
      <c r="BA130" s="231"/>
      <c r="BB130" s="231"/>
      <c r="BC130" s="231"/>
      <c r="BD130" s="231"/>
      <c r="BE130" s="231"/>
      <c r="BF130" s="231"/>
      <c r="BG130" s="231"/>
      <c r="BH130" s="231"/>
      <c r="BI130" s="231"/>
      <c r="BJ130" s="231"/>
      <c r="BK130" s="231"/>
      <c r="BL130" s="231"/>
      <c r="BM130" s="231"/>
      <c r="BN130" s="231"/>
      <c r="BO130" s="231"/>
      <c r="BP130" s="231"/>
      <c r="BQ130" s="231"/>
    </row>
    <row r="131" spans="1:81" s="230" customFormat="1" ht="16.5" customHeight="1" x14ac:dyDescent="0.25">
      <c r="A131" s="2062"/>
      <c r="B131" s="341" t="s">
        <v>105</v>
      </c>
      <c r="C131" s="342">
        <v>23</v>
      </c>
      <c r="D131" s="343"/>
      <c r="E131" s="2121" t="s">
        <v>106</v>
      </c>
      <c r="F131" s="2121"/>
      <c r="G131" s="461">
        <v>158</v>
      </c>
      <c r="H131" s="345"/>
      <c r="I131" s="346"/>
      <c r="J131" s="347"/>
      <c r="K131" s="462"/>
      <c r="L131" s="463"/>
      <c r="M131" s="464"/>
      <c r="N131" s="462"/>
      <c r="O131" s="463"/>
      <c r="P131" s="464"/>
      <c r="Q131" s="462"/>
      <c r="R131" s="463"/>
      <c r="S131" s="464"/>
      <c r="T131" s="2092"/>
      <c r="U131" s="2111"/>
      <c r="V131" s="2093"/>
      <c r="W131" s="2092"/>
      <c r="X131" s="2111"/>
      <c r="Y131" s="2093"/>
      <c r="Z131" s="2092"/>
      <c r="AA131" s="2111"/>
      <c r="AB131" s="2093"/>
      <c r="AC131" s="2092"/>
      <c r="AD131" s="2111"/>
      <c r="AE131" s="2093"/>
      <c r="AF131" s="2092"/>
      <c r="AG131" s="2111"/>
      <c r="AH131" s="2093"/>
      <c r="AI131" s="2092"/>
      <c r="AJ131" s="2111"/>
      <c r="AK131" s="2093"/>
      <c r="AL131" s="2092"/>
      <c r="AM131" s="2111"/>
      <c r="AN131" s="2093"/>
      <c r="AO131" s="2092"/>
      <c r="AP131" s="2111"/>
      <c r="AQ131" s="2093"/>
      <c r="AS131" s="231"/>
      <c r="AT131" s="231"/>
      <c r="AU131" s="231"/>
      <c r="AV131" s="231"/>
      <c r="AW131" s="231"/>
      <c r="AX131" s="231"/>
      <c r="AY131" s="231"/>
      <c r="AZ131" s="231"/>
      <c r="BA131" s="231"/>
      <c r="BB131" s="231"/>
      <c r="BC131" s="231"/>
      <c r="BD131" s="231"/>
      <c r="BE131" s="231"/>
      <c r="BF131" s="231"/>
      <c r="BG131" s="231"/>
      <c r="BH131" s="231"/>
      <c r="BI131" s="231"/>
      <c r="BJ131" s="231"/>
      <c r="BK131" s="231"/>
      <c r="BL131" s="231"/>
      <c r="BM131" s="231"/>
      <c r="BN131" s="231"/>
      <c r="BO131" s="231"/>
      <c r="BP131" s="231"/>
      <c r="BQ131" s="231"/>
    </row>
    <row r="132" spans="1:81" s="230" customFormat="1" ht="16.5" customHeight="1" thickBot="1" x14ac:dyDescent="0.3">
      <c r="A132" s="2062"/>
      <c r="B132" s="350" t="s">
        <v>59</v>
      </c>
      <c r="C132" s="261">
        <v>50</v>
      </c>
      <c r="D132" s="263"/>
      <c r="E132" s="348"/>
      <c r="F132" s="348" t="s">
        <v>58</v>
      </c>
      <c r="G132" s="349">
        <v>50</v>
      </c>
      <c r="H132" s="2122" t="s">
        <v>57</v>
      </c>
      <c r="I132" s="2123"/>
      <c r="J132" s="351">
        <v>150</v>
      </c>
      <c r="K132" s="2122" t="s">
        <v>53</v>
      </c>
      <c r="L132" s="2123"/>
      <c r="M132" s="351">
        <v>10.5</v>
      </c>
      <c r="N132" s="2122" t="s">
        <v>54</v>
      </c>
      <c r="O132" s="2123"/>
      <c r="P132" s="351">
        <v>17</v>
      </c>
      <c r="Q132" s="2122" t="s">
        <v>56</v>
      </c>
      <c r="R132" s="2123"/>
      <c r="S132" s="351">
        <v>6</v>
      </c>
      <c r="T132" s="2094"/>
      <c r="U132" s="2112"/>
      <c r="V132" s="2095"/>
      <c r="W132" s="2094"/>
      <c r="X132" s="2112"/>
      <c r="Y132" s="2095"/>
      <c r="Z132" s="2094"/>
      <c r="AA132" s="2112"/>
      <c r="AB132" s="2095"/>
      <c r="AC132" s="2094"/>
      <c r="AD132" s="2112"/>
      <c r="AE132" s="2095"/>
      <c r="AF132" s="2094"/>
      <c r="AG132" s="2112"/>
      <c r="AH132" s="2095"/>
      <c r="AI132" s="2094"/>
      <c r="AJ132" s="2112"/>
      <c r="AK132" s="2095"/>
      <c r="AL132" s="2094"/>
      <c r="AM132" s="2112"/>
      <c r="AN132" s="2095"/>
      <c r="AO132" s="2094"/>
      <c r="AP132" s="2112"/>
      <c r="AQ132" s="2095"/>
      <c r="AS132" s="231"/>
      <c r="AT132" s="231"/>
      <c r="AU132" s="231"/>
      <c r="AV132" s="231"/>
      <c r="AW132" s="231"/>
      <c r="AX132" s="231"/>
      <c r="AY132" s="231"/>
      <c r="AZ132" s="231"/>
      <c r="BA132" s="231"/>
      <c r="BB132" s="231"/>
      <c r="BC132" s="231"/>
      <c r="BD132" s="231"/>
      <c r="BE132" s="231"/>
      <c r="BF132" s="231"/>
      <c r="BG132" s="231"/>
      <c r="BH132" s="231"/>
      <c r="BI132" s="231"/>
      <c r="BJ132" s="231"/>
      <c r="BK132" s="231"/>
      <c r="BL132" s="231"/>
      <c r="BM132" s="231"/>
      <c r="BN132" s="231"/>
      <c r="BO132" s="231"/>
      <c r="BP132" s="231"/>
      <c r="BQ132" s="231"/>
    </row>
    <row r="133" spans="1:81" s="230" customFormat="1" ht="16.5" customHeight="1" thickBot="1" x14ac:dyDescent="0.3">
      <c r="A133" s="2063"/>
      <c r="B133" s="2124" t="s">
        <v>29</v>
      </c>
      <c r="C133" s="2125"/>
      <c r="D133" s="2125"/>
      <c r="E133" s="2125"/>
      <c r="F133" s="2125"/>
      <c r="G133" s="2126"/>
      <c r="H133" s="352">
        <f>H129+H130+I78+I79</f>
        <v>10.348438009924203</v>
      </c>
      <c r="I133" s="353" t="s">
        <v>2</v>
      </c>
      <c r="J133" s="354">
        <f>J129+J130+J78+J79</f>
        <v>2.4442154866633228</v>
      </c>
      <c r="K133" s="352">
        <f>K129+K130+L78+L79</f>
        <v>10.251652631046698</v>
      </c>
      <c r="L133" s="353" t="s">
        <v>2</v>
      </c>
      <c r="M133" s="354">
        <f>M129+M130+M78+M79</f>
        <v>2.0882359752499999</v>
      </c>
      <c r="N133" s="352">
        <f>N129+N130+O78+O79</f>
        <v>10.084690740047478</v>
      </c>
      <c r="O133" s="353" t="s">
        <v>2</v>
      </c>
      <c r="P133" s="354">
        <f>P129+P130+P78+P79</f>
        <v>2.0452217256140628</v>
      </c>
      <c r="Q133" s="352">
        <f>Q129+Q130+R78+R79</f>
        <v>10.075986842230311</v>
      </c>
      <c r="R133" s="353" t="s">
        <v>2</v>
      </c>
      <c r="S133" s="354">
        <f>S129+S130+S78+S79</f>
        <v>2.0752788324562501</v>
      </c>
      <c r="T133" s="352">
        <f>T129+T130+U78+U79</f>
        <v>10.503128570827808</v>
      </c>
      <c r="U133" s="353" t="s">
        <v>2</v>
      </c>
      <c r="V133" s="354">
        <f>V129+V130+V78+V79</f>
        <v>2.3824158065124998</v>
      </c>
      <c r="W133" s="352">
        <f>W129+W130+X78+X79</f>
        <v>10.539098765346058</v>
      </c>
      <c r="X133" s="353" t="s">
        <v>2</v>
      </c>
      <c r="Y133" s="354">
        <f>Y129+Y130+Y78+Y79</f>
        <v>2.3945930779265625</v>
      </c>
      <c r="Z133" s="352">
        <f>Z129+Z130+AA78+AA79</f>
        <v>10.568264896710289</v>
      </c>
      <c r="AA133" s="353" t="s">
        <v>2</v>
      </c>
      <c r="AB133" s="354">
        <f>AB129+AB130+AB78+AB79</f>
        <v>2.4284809990140621</v>
      </c>
      <c r="AC133" s="352">
        <f>AC129+AC130+AD78+AD79</f>
        <v>10.500978167423634</v>
      </c>
      <c r="AD133" s="353" t="s">
        <v>2</v>
      </c>
      <c r="AE133" s="354">
        <f>AE129+AE130+AE78+AE79</f>
        <v>2.3860815362015626</v>
      </c>
      <c r="AF133" s="352">
        <f>AF129+AF130+AG78+AG79</f>
        <v>10.446555186255509</v>
      </c>
      <c r="AG133" s="353" t="s">
        <v>2</v>
      </c>
      <c r="AH133" s="354">
        <f>AH129+AH130+AH78+AH79</f>
        <v>2.404094681365625</v>
      </c>
      <c r="AI133" s="352">
        <f>AI129+AI130+AJ78+AJ79</f>
        <v>10.447302501890031</v>
      </c>
      <c r="AJ133" s="353" t="s">
        <v>2</v>
      </c>
      <c r="AK133" s="354">
        <f>AK129+AK130+AK78+AK79</f>
        <v>2.4056559452156252</v>
      </c>
      <c r="AL133" s="352">
        <f>AL129+AL130+AM78+AM79</f>
        <v>10.183230189145855</v>
      </c>
      <c r="AM133" s="353" t="s">
        <v>2</v>
      </c>
      <c r="AN133" s="354">
        <f>AN129+AN130+AN78+AN79</f>
        <v>2.3395404047312498</v>
      </c>
      <c r="AO133" s="352">
        <f>AO129+AO130+AP78+AP79</f>
        <v>9.9375736327813176</v>
      </c>
      <c r="AP133" s="353" t="s">
        <v>2</v>
      </c>
      <c r="AQ133" s="354">
        <f>AQ129+AQ130+AQ78+AQ79</f>
        <v>2.2960103127625002</v>
      </c>
      <c r="AS133" s="231"/>
      <c r="AT133" s="231"/>
      <c r="AU133" s="231"/>
      <c r="AV133" s="231"/>
      <c r="AW133" s="231"/>
      <c r="AX133" s="231"/>
      <c r="AY133" s="231"/>
      <c r="AZ133" s="231"/>
      <c r="BA133" s="231"/>
      <c r="BB133" s="231"/>
      <c r="BC133" s="231"/>
      <c r="BD133" s="231"/>
      <c r="BE133" s="231"/>
      <c r="BF133" s="231"/>
      <c r="BG133" s="231"/>
      <c r="BH133" s="231"/>
      <c r="BI133" s="231"/>
      <c r="BJ133" s="231"/>
      <c r="BK133" s="231"/>
      <c r="BL133" s="231"/>
      <c r="BM133" s="231"/>
      <c r="BN133" s="231"/>
      <c r="BO133" s="231"/>
      <c r="BP133" s="231"/>
      <c r="BQ133" s="231"/>
    </row>
    <row r="134" spans="1:81" s="230" customFormat="1" ht="16.5" customHeight="1" x14ac:dyDescent="0.25">
      <c r="A134" s="2061" t="s">
        <v>1</v>
      </c>
      <c r="B134" s="329" t="s">
        <v>22</v>
      </c>
      <c r="C134" s="330"/>
      <c r="D134" s="330" t="s">
        <v>45</v>
      </c>
      <c r="E134" s="330"/>
      <c r="F134" s="330"/>
      <c r="G134" s="330"/>
      <c r="H134" s="332">
        <f>$C$66/1000</f>
        <v>2.3E-2</v>
      </c>
      <c r="I134" s="333" t="s">
        <v>2</v>
      </c>
      <c r="J134" s="334">
        <f>$G$66/1000</f>
        <v>0.158</v>
      </c>
      <c r="K134" s="332">
        <f>$C$66/1000</f>
        <v>2.3E-2</v>
      </c>
      <c r="L134" s="333" t="s">
        <v>2</v>
      </c>
      <c r="M134" s="334">
        <f>$G$66/1000</f>
        <v>0.158</v>
      </c>
      <c r="N134" s="332">
        <f>$C$66/1000</f>
        <v>2.3E-2</v>
      </c>
      <c r="O134" s="333" t="s">
        <v>2</v>
      </c>
      <c r="P134" s="334">
        <f>$G$66/1000</f>
        <v>0.158</v>
      </c>
      <c r="Q134" s="332">
        <f>$C$66/1000</f>
        <v>2.3E-2</v>
      </c>
      <c r="R134" s="333" t="s">
        <v>2</v>
      </c>
      <c r="S134" s="334">
        <f>$G$66/1000</f>
        <v>0.158</v>
      </c>
      <c r="T134" s="332">
        <f>$C$66/1000</f>
        <v>2.3E-2</v>
      </c>
      <c r="U134" s="333" t="s">
        <v>2</v>
      </c>
      <c r="V134" s="334">
        <f>$G$66/1000</f>
        <v>0.158</v>
      </c>
      <c r="W134" s="332">
        <f>$C$66/1000</f>
        <v>2.3E-2</v>
      </c>
      <c r="X134" s="333" t="s">
        <v>2</v>
      </c>
      <c r="Y134" s="334">
        <f>$G$66/1000</f>
        <v>0.158</v>
      </c>
      <c r="Z134" s="332">
        <f>$C$66/1000</f>
        <v>2.3E-2</v>
      </c>
      <c r="AA134" s="333" t="s">
        <v>2</v>
      </c>
      <c r="AB134" s="334">
        <f>$G$66/1000</f>
        <v>0.158</v>
      </c>
      <c r="AC134" s="332">
        <f>$C$66/1000</f>
        <v>2.3E-2</v>
      </c>
      <c r="AD134" s="333" t="s">
        <v>2</v>
      </c>
      <c r="AE134" s="334">
        <f>$G$66/1000</f>
        <v>0.158</v>
      </c>
      <c r="AF134" s="332">
        <f>$C$66/1000</f>
        <v>2.3E-2</v>
      </c>
      <c r="AG134" s="333" t="s">
        <v>2</v>
      </c>
      <c r="AH134" s="334">
        <f>$G$66/1000</f>
        <v>0.158</v>
      </c>
      <c r="AI134" s="332">
        <f>$C$66/1000</f>
        <v>2.3E-2</v>
      </c>
      <c r="AJ134" s="333" t="s">
        <v>2</v>
      </c>
      <c r="AK134" s="334">
        <f>$G$66/1000</f>
        <v>0.158</v>
      </c>
      <c r="AL134" s="332">
        <f>$C$66/1000</f>
        <v>2.3E-2</v>
      </c>
      <c r="AM134" s="333" t="s">
        <v>2</v>
      </c>
      <c r="AN134" s="334">
        <f>$G$66/1000</f>
        <v>0.158</v>
      </c>
      <c r="AO134" s="332">
        <f>$C$66/1000</f>
        <v>2.3E-2</v>
      </c>
      <c r="AP134" s="333" t="s">
        <v>2</v>
      </c>
      <c r="AQ134" s="334">
        <f>$G$66/1000</f>
        <v>0.158</v>
      </c>
      <c r="AR134" s="284"/>
      <c r="AS134" s="231"/>
      <c r="AT134" s="231"/>
      <c r="AU134" s="231"/>
      <c r="AV134" s="231"/>
      <c r="AW134" s="231"/>
      <c r="AX134" s="231"/>
      <c r="AY134" s="231"/>
      <c r="AZ134" s="231"/>
      <c r="BA134" s="231"/>
      <c r="BB134" s="231"/>
      <c r="BC134" s="231"/>
      <c r="BD134" s="231"/>
      <c r="BE134" s="231"/>
      <c r="BF134" s="231"/>
      <c r="BG134" s="231"/>
      <c r="BH134" s="231"/>
      <c r="BI134" s="231"/>
      <c r="BJ134" s="231"/>
      <c r="BK134" s="231"/>
      <c r="BL134" s="231"/>
      <c r="BM134" s="231"/>
      <c r="BN134" s="231"/>
      <c r="BO134" s="231"/>
      <c r="BP134" s="231"/>
      <c r="BQ134" s="231"/>
    </row>
    <row r="135" spans="1:81" s="230" customFormat="1" ht="16.5" customHeight="1" thickBot="1" x14ac:dyDescent="0.3">
      <c r="A135" s="2062"/>
      <c r="B135" s="335" t="s">
        <v>23</v>
      </c>
      <c r="C135" s="336"/>
      <c r="D135" s="336" t="s">
        <v>24</v>
      </c>
      <c r="E135" s="336"/>
      <c r="F135" s="336"/>
      <c r="G135" s="355"/>
      <c r="H135" s="338">
        <f>(((I85^2+J85^2)*$C$67/1000)+((I86^2+J86^2)*$G$67/1000)+((I87^2+J87^2)*$J$67/1000))/($C$15*$C$15)</f>
        <v>7.4809968186682035E-2</v>
      </c>
      <c r="I135" s="339" t="s">
        <v>2</v>
      </c>
      <c r="J135" s="340">
        <f>(((I85^2+J85^2)*$M$67)+((I86^2+J86^2)*$P$67)+((I87^2+J87^2)*S137))/(100*$C$7)</f>
        <v>1.1500616268307025</v>
      </c>
      <c r="K135" s="338">
        <f>(((L85^2+M85^2)*$C$67/1000)+((L86^2+M86^2)*$G$67/1000)+((L87^2+M87^2)*$J$67/1000))/($C$15*$C$15)</f>
        <v>7.2052812474045325E-2</v>
      </c>
      <c r="L135" s="339" t="s">
        <v>2</v>
      </c>
      <c r="M135" s="340">
        <f>(((L85^2+M85^2)*$M$67)+((L86^2+M86^2)*$P$67)+((L87^2+M87^2)*V137))/(100*$C$7)</f>
        <v>0.79431080564062495</v>
      </c>
      <c r="N135" s="338">
        <f>(((O85^2+P85^2)*$C$67/1000)+((O86^2+P86^2)*$G$67/1000)+((O87^2+P87^2)*$J$67/1000))/($C$15*$C$15)</f>
        <v>7.1918161410213288E-2</v>
      </c>
      <c r="O135" s="339" t="s">
        <v>2</v>
      </c>
      <c r="P135" s="340">
        <f>(((O85^2+P85^2)*$M$67)+((O86^2+P86^2)*$P$67)+((O87^2+P87^2)*Y137))/(100*$C$7)</f>
        <v>0.79144497660156243</v>
      </c>
      <c r="Q135" s="338">
        <f>(((R85^2+S85^2)*$C$67/1000)+((R86^2+S86^2)*$G$67/1000)+((R87^2+S87^2)*$J$67/1000))/($C$15*$C$15)</f>
        <v>7.2427658118357816E-2</v>
      </c>
      <c r="R135" s="339" t="s">
        <v>2</v>
      </c>
      <c r="S135" s="340">
        <f>(((R85^2+S85^2)*$M$67)+((R86^2+S86^2)*$P$67)+((R87^2+S87^2)*AB137))/(100*$C$7)</f>
        <v>0.79810910224062492</v>
      </c>
      <c r="T135" s="338">
        <f>(((U85^2+V85^2)*$C$67/1000)+((U86^2+V86^2)*$G$67/1000)+((U87^2+V87^2)*$J$67/1000))/($C$15*$C$15)</f>
        <v>7.7333464501451565E-2</v>
      </c>
      <c r="U135" s="339" t="s">
        <v>2</v>
      </c>
      <c r="V135" s="340">
        <f>(((U85^2+V85^2)*$M$67)+((U86^2+V86^2)*$P$67)+((U87^2+V87^2)*AE137))/(100*$C$7)</f>
        <v>0.85414739652812499</v>
      </c>
      <c r="W135" s="338">
        <f>(((X85^2+Y85^2)*$C$67/1000)+((X86^2+Y86^2)*$G$67/1000)+((X87^2+Y87^2)*$J$67/1000))/($C$15*$C$15)</f>
        <v>7.9693884819088276E-2</v>
      </c>
      <c r="X135" s="339" t="s">
        <v>2</v>
      </c>
      <c r="Y135" s="340">
        <f>(((X85^2+Y85^2)*$M$67)+((X86^2+Y86^2)*$P$67)+((X87^2+Y87^2)*AH137))/(100*$C$7)</f>
        <v>0.87784250845156253</v>
      </c>
      <c r="Z135" s="338">
        <f>(((AA85^2+AB85^2)*$C$67/1000)+((AA86^2+AB86^2)*$G$67/1000)+((AA87^2+AB87^2)*$J$67/1000))/($C$15*$C$15)</f>
        <v>8.0998530427638285E-2</v>
      </c>
      <c r="AA135" s="339" t="s">
        <v>2</v>
      </c>
      <c r="AB135" s="340">
        <f>(((AA85^2+AB85^2)*$M$67)+((AA86^2+AB86^2)*$P$67)+((AA87^2+AB87^2)*AK137))/(100*$C$7)</f>
        <v>0.88825240637656255</v>
      </c>
      <c r="AC135" s="338">
        <f>(((AD85^2+AE85^2)*$C$67/1000)+((AD86^2+AE86^2)*$G$67/1000)+((AD87^2+AE87^2)*$J$67/1000))/($C$15*$C$15)</f>
        <v>8.0119710798482804E-2</v>
      </c>
      <c r="AD135" s="339" t="s">
        <v>2</v>
      </c>
      <c r="AE135" s="340">
        <f>(((AD85^2+AE85^2)*$M$67)+((AD86^2+AE86^2)*$P$67)+((AD87^2+AE87^2)*AN137))/(100*$C$7)</f>
        <v>0.8762281869906251</v>
      </c>
      <c r="AF135" s="338">
        <f>(((AG85^2+AH85^2)*$C$67/1000)+((AG86^2+AH86^2)*$G$67/1000)+((AG87^2+AH87^2)*$J$67/1000))/($C$15*$C$15)</f>
        <v>8.0368261660251586E-2</v>
      </c>
      <c r="AG135" s="339" t="s">
        <v>2</v>
      </c>
      <c r="AH135" s="340">
        <f>(((AG85^2+AH85^2)*$M$67)+((AG86^2+AH86^2)*$P$67)+((AG87^2+AH87^2)*AQ137))/(100*$C$7)</f>
        <v>0.87805615692812478</v>
      </c>
      <c r="AI135" s="338">
        <f>(((AJ85^2+AK85^2)*$C$67/1000)+((AJ86^2+AK86^2)*$G$67/1000)+((AJ87^2+AK87^2)*$J$67/1000))/($C$15*$C$15)</f>
        <v>7.8365904306950784E-2</v>
      </c>
      <c r="AJ135" s="339" t="s">
        <v>2</v>
      </c>
      <c r="AK135" s="340">
        <f>(((AJ85^2+AK85^2)*$M$67)+((AJ86^2+AK86^2)*$P$67)+((AJ87^2+AK87^2)*AT137))/(100*$C$7)</f>
        <v>0.85793699275156232</v>
      </c>
      <c r="AL135" s="338">
        <f>(((AM85^2+AN85^2)*$C$67/1000)+((AM86^2+AN86^2)*$G$67/1000)+((AM87^2+AN87^2)*$J$67/1000))/($C$15*$C$15)</f>
        <v>7.6632508167539082E-2</v>
      </c>
      <c r="AM135" s="339" t="s">
        <v>2</v>
      </c>
      <c r="AN135" s="340">
        <f>(((AM85^2+AN85^2)*$M$67)+((AM86^2+AN86^2)*$P$67)+((AM87^2+AN87^2)*AW137))/(100*$C$7)</f>
        <v>0.84194740767812515</v>
      </c>
      <c r="AO135" s="338">
        <f>(((AP85^2+AQ85^2)*$C$67/1000)+((AP86^2+AQ86^2)*$G$67/1000)+((AP87^2+AQ87^2)*$J$67/1000))/($C$15*$C$15)</f>
        <v>7.2711780406289075E-2</v>
      </c>
      <c r="AP135" s="339" t="s">
        <v>2</v>
      </c>
      <c r="AQ135" s="340">
        <f>(((AP85^2+AQ85^2)*$M$67)+((AP86^2+AQ86^2)*$P$67)+((AP87^2+AQ87^2)*AZ137))/(100*$C$7)</f>
        <v>0.80283559490312495</v>
      </c>
      <c r="AR135" s="284"/>
      <c r="AS135" s="231"/>
      <c r="AT135" s="231"/>
      <c r="AU135" s="231"/>
      <c r="AV135" s="231"/>
      <c r="AW135" s="231"/>
      <c r="AX135" s="231"/>
      <c r="AY135" s="231"/>
      <c r="AZ135" s="231"/>
      <c r="BA135" s="231"/>
      <c r="BB135" s="231"/>
      <c r="BC135" s="231"/>
      <c r="BD135" s="231"/>
      <c r="BE135" s="231"/>
      <c r="BF135" s="231"/>
      <c r="BG135" s="231"/>
      <c r="BH135" s="231"/>
      <c r="BI135" s="231"/>
      <c r="BJ135" s="231"/>
      <c r="BK135" s="231"/>
      <c r="BL135" s="231"/>
      <c r="BM135" s="231"/>
      <c r="BN135" s="231"/>
      <c r="BO135" s="231"/>
      <c r="BP135" s="231"/>
      <c r="BQ135" s="231"/>
    </row>
    <row r="136" spans="1:81" s="230" customFormat="1" ht="16.5" customHeight="1" x14ac:dyDescent="0.25">
      <c r="A136" s="2062"/>
      <c r="B136" s="341" t="s">
        <v>105</v>
      </c>
      <c r="C136" s="342">
        <v>23</v>
      </c>
      <c r="D136" s="343"/>
      <c r="E136" s="2121" t="s">
        <v>106</v>
      </c>
      <c r="F136" s="2121"/>
      <c r="G136" s="461">
        <v>158</v>
      </c>
      <c r="H136" s="345"/>
      <c r="I136" s="346"/>
      <c r="J136" s="347"/>
      <c r="K136" s="462"/>
      <c r="L136" s="463"/>
      <c r="M136" s="464"/>
      <c r="N136" s="462"/>
      <c r="O136" s="463"/>
      <c r="P136" s="464"/>
      <c r="Q136" s="462"/>
      <c r="R136" s="463"/>
      <c r="S136" s="464"/>
      <c r="T136" s="2127"/>
      <c r="U136" s="2128"/>
      <c r="V136" s="2129"/>
      <c r="W136" s="2127"/>
      <c r="X136" s="2128"/>
      <c r="Y136" s="2129"/>
      <c r="Z136" s="2127"/>
      <c r="AA136" s="2128"/>
      <c r="AB136" s="2129"/>
      <c r="AC136" s="2127"/>
      <c r="AD136" s="2128"/>
      <c r="AE136" s="2129"/>
      <c r="AF136" s="2127"/>
      <c r="AG136" s="2128"/>
      <c r="AH136" s="2129"/>
      <c r="AI136" s="2127"/>
      <c r="AJ136" s="2128"/>
      <c r="AK136" s="2129"/>
      <c r="AL136" s="2127"/>
      <c r="AM136" s="2128"/>
      <c r="AN136" s="2129"/>
      <c r="AO136" s="2127"/>
      <c r="AP136" s="2128"/>
      <c r="AQ136" s="2129"/>
      <c r="AR136" s="284"/>
      <c r="AS136" s="393"/>
      <c r="AT136" s="231"/>
      <c r="AU136" s="231"/>
      <c r="AV136" s="231"/>
      <c r="AW136" s="231"/>
      <c r="AX136" s="231"/>
      <c r="AY136" s="231"/>
      <c r="AZ136" s="231"/>
      <c r="BA136" s="231"/>
      <c r="BB136" s="231"/>
      <c r="BC136" s="231"/>
      <c r="BD136" s="231"/>
      <c r="BE136" s="231"/>
      <c r="BF136" s="231"/>
      <c r="BG136" s="231"/>
      <c r="BH136" s="231"/>
      <c r="BI136" s="231"/>
      <c r="BJ136" s="231"/>
      <c r="BK136" s="231"/>
      <c r="BL136" s="231"/>
      <c r="BM136" s="231"/>
      <c r="BN136" s="231"/>
      <c r="BO136" s="231"/>
      <c r="BP136" s="231"/>
      <c r="BQ136" s="231"/>
    </row>
    <row r="137" spans="1:81" s="230" customFormat="1" ht="16.5" customHeight="1" thickBot="1" x14ac:dyDescent="0.3">
      <c r="A137" s="2062"/>
      <c r="B137" s="350" t="s">
        <v>59</v>
      </c>
      <c r="C137" s="261">
        <v>50</v>
      </c>
      <c r="D137" s="263"/>
      <c r="E137" s="348"/>
      <c r="F137" s="348" t="s">
        <v>58</v>
      </c>
      <c r="G137" s="349">
        <v>50</v>
      </c>
      <c r="H137" s="2122" t="s">
        <v>57</v>
      </c>
      <c r="I137" s="2123"/>
      <c r="J137" s="351">
        <v>150</v>
      </c>
      <c r="K137" s="2122" t="s">
        <v>53</v>
      </c>
      <c r="L137" s="2123"/>
      <c r="M137" s="351">
        <v>10.5</v>
      </c>
      <c r="N137" s="2122" t="s">
        <v>54</v>
      </c>
      <c r="O137" s="2123"/>
      <c r="P137" s="351">
        <v>17</v>
      </c>
      <c r="Q137" s="2122" t="s">
        <v>56</v>
      </c>
      <c r="R137" s="2123"/>
      <c r="S137" s="351">
        <v>6</v>
      </c>
      <c r="T137" s="2130"/>
      <c r="U137" s="2131"/>
      <c r="V137" s="2132"/>
      <c r="W137" s="2130"/>
      <c r="X137" s="2131"/>
      <c r="Y137" s="2132"/>
      <c r="Z137" s="2130"/>
      <c r="AA137" s="2131"/>
      <c r="AB137" s="2132"/>
      <c r="AC137" s="2130"/>
      <c r="AD137" s="2131"/>
      <c r="AE137" s="2132"/>
      <c r="AF137" s="2130"/>
      <c r="AG137" s="2131"/>
      <c r="AH137" s="2132"/>
      <c r="AI137" s="2130"/>
      <c r="AJ137" s="2131"/>
      <c r="AK137" s="2132"/>
      <c r="AL137" s="2130"/>
      <c r="AM137" s="2131"/>
      <c r="AN137" s="2132"/>
      <c r="AO137" s="2130"/>
      <c r="AP137" s="2131"/>
      <c r="AQ137" s="2132"/>
      <c r="AS137" s="231"/>
      <c r="AT137" s="231"/>
      <c r="AU137" s="231"/>
      <c r="AV137" s="231"/>
      <c r="AW137" s="231"/>
      <c r="AX137" s="231"/>
      <c r="AY137" s="231"/>
      <c r="AZ137" s="231"/>
      <c r="BA137" s="231"/>
      <c r="BB137" s="231"/>
      <c r="BC137" s="231"/>
      <c r="BD137" s="231"/>
      <c r="BE137" s="231"/>
      <c r="BF137" s="231"/>
      <c r="BG137" s="231"/>
      <c r="BH137" s="231"/>
      <c r="BI137" s="231"/>
      <c r="BJ137" s="231"/>
      <c r="BK137" s="231"/>
      <c r="BL137" s="231"/>
      <c r="BM137" s="231"/>
      <c r="BN137" s="231"/>
      <c r="BO137" s="231"/>
      <c r="BP137" s="231"/>
      <c r="BQ137" s="231"/>
    </row>
    <row r="138" spans="1:81" s="363" customFormat="1" ht="16.5" customHeight="1" thickBot="1" x14ac:dyDescent="0.3">
      <c r="A138" s="2063"/>
      <c r="B138" s="2124" t="s">
        <v>29</v>
      </c>
      <c r="C138" s="2125"/>
      <c r="D138" s="2125"/>
      <c r="E138" s="2125"/>
      <c r="F138" s="2125"/>
      <c r="G138" s="2126"/>
      <c r="H138" s="360">
        <f>H134+H135+I86+I87</f>
        <v>10.999607968186682</v>
      </c>
      <c r="I138" s="361" t="s">
        <v>2</v>
      </c>
      <c r="J138" s="362">
        <f>J134+J135+J86+J87</f>
        <v>2.6484616268307022</v>
      </c>
      <c r="K138" s="360">
        <f>K134+K135+L86+L87</f>
        <v>10.786554812474046</v>
      </c>
      <c r="L138" s="361" t="s">
        <v>2</v>
      </c>
      <c r="M138" s="362">
        <f>M134+M135+M86+M87</f>
        <v>2.2725608056406248</v>
      </c>
      <c r="N138" s="360">
        <f>N134+N135+O86+O87</f>
        <v>10.774710161410214</v>
      </c>
      <c r="O138" s="361" t="s">
        <v>2</v>
      </c>
      <c r="P138" s="362">
        <f>P134+P135+P86+P87</f>
        <v>2.2798949766015628</v>
      </c>
      <c r="Q138" s="360">
        <f>Q134+Q135+R86+R87</f>
        <v>10.814169658118358</v>
      </c>
      <c r="R138" s="361" t="s">
        <v>2</v>
      </c>
      <c r="S138" s="362">
        <f>S134+S135+S86+S87</f>
        <v>2.2799591022406247</v>
      </c>
      <c r="T138" s="360">
        <f>T134+T135+U86+U87</f>
        <v>11.164495464501451</v>
      </c>
      <c r="U138" s="361" t="s">
        <v>2</v>
      </c>
      <c r="V138" s="362">
        <f>V134+V135+V86+V87</f>
        <v>2.4802973965281252</v>
      </c>
      <c r="W138" s="360">
        <f>W134+W135+X86+X87</f>
        <v>11.322155884819088</v>
      </c>
      <c r="X138" s="361" t="s">
        <v>2</v>
      </c>
      <c r="Y138" s="362">
        <f>Y134+Y135+Y86+Y87</f>
        <v>2.4992425084515624</v>
      </c>
      <c r="Z138" s="360">
        <f>Z134+Z135+AA86+AA87</f>
        <v>11.399304530427639</v>
      </c>
      <c r="AA138" s="361" t="s">
        <v>2</v>
      </c>
      <c r="AB138" s="362">
        <f>AB134+AB135+AB86+AB87</f>
        <v>2.5160524063765624</v>
      </c>
      <c r="AC138" s="360">
        <f>AC134+AC135+AD86+AD87</f>
        <v>11.318781710798483</v>
      </c>
      <c r="AD138" s="361" t="s">
        <v>2</v>
      </c>
      <c r="AE138" s="362">
        <f>AE134+AE135+AE86+AE87</f>
        <v>2.4933781869906255</v>
      </c>
      <c r="AF138" s="360">
        <f>AF134+AF135+AG86+AG87</f>
        <v>11.334954261660254</v>
      </c>
      <c r="AG138" s="361" t="s">
        <v>2</v>
      </c>
      <c r="AH138" s="362">
        <f>AH134+AH135+AH86+AH87</f>
        <v>2.5167061569281248</v>
      </c>
      <c r="AI138" s="360">
        <f>AI134+AI135+AJ86+AJ87</f>
        <v>11.203701904306952</v>
      </c>
      <c r="AJ138" s="361" t="s">
        <v>2</v>
      </c>
      <c r="AK138" s="362">
        <f>AK134+AK135+AK86+AK87</f>
        <v>2.4874869927515624</v>
      </c>
      <c r="AL138" s="360">
        <f>AL134+AL135+AM86+AM87</f>
        <v>11.08794250816754</v>
      </c>
      <c r="AM138" s="361" t="s">
        <v>2</v>
      </c>
      <c r="AN138" s="362">
        <f>AN134+AN135+AN86+AN87</f>
        <v>2.4596974076781253</v>
      </c>
      <c r="AO138" s="360">
        <f>AO134+AO135+AP86+AP87</f>
        <v>10.821281780406292</v>
      </c>
      <c r="AP138" s="361" t="s">
        <v>2</v>
      </c>
      <c r="AQ138" s="362">
        <f>AQ134+AQ135+AQ86+AQ87</f>
        <v>2.4129855949031249</v>
      </c>
      <c r="AR138" s="465"/>
      <c r="AS138" s="466"/>
      <c r="AT138" s="466"/>
      <c r="AU138" s="466"/>
      <c r="AV138" s="466"/>
      <c r="AW138" s="466"/>
      <c r="AX138" s="466"/>
      <c r="AY138" s="466"/>
      <c r="AZ138" s="466"/>
      <c r="BA138" s="467"/>
      <c r="BB138" s="467"/>
      <c r="BC138" s="467"/>
      <c r="BD138" s="467"/>
      <c r="BE138" s="467"/>
      <c r="BF138" s="467"/>
      <c r="BG138" s="467"/>
      <c r="BH138" s="467"/>
      <c r="BI138" s="467"/>
      <c r="BJ138" s="467"/>
      <c r="BK138" s="467"/>
      <c r="BL138" s="467"/>
      <c r="BM138" s="467"/>
      <c r="BN138" s="467"/>
      <c r="BO138" s="467"/>
      <c r="BP138" s="467"/>
      <c r="BQ138" s="467"/>
      <c r="CC138" s="364"/>
    </row>
    <row r="139" spans="1:81" s="230" customFormat="1" ht="16.5" customHeight="1" x14ac:dyDescent="0.25">
      <c r="A139" s="2104" t="s">
        <v>20</v>
      </c>
      <c r="B139" s="2105"/>
      <c r="C139" s="2105"/>
      <c r="D139" s="2105"/>
      <c r="E139" s="2105"/>
      <c r="F139" s="2105"/>
      <c r="G139" s="2133"/>
      <c r="H139" s="365"/>
      <c r="I139" s="366"/>
      <c r="J139" s="347"/>
      <c r="K139" s="365"/>
      <c r="L139" s="366"/>
      <c r="M139" s="347"/>
      <c r="N139" s="365"/>
      <c r="O139" s="366"/>
      <c r="P139" s="347"/>
      <c r="Q139" s="365"/>
      <c r="R139" s="366"/>
      <c r="S139" s="347"/>
      <c r="T139" s="365"/>
      <c r="U139" s="366"/>
      <c r="V139" s="347"/>
      <c r="W139" s="365"/>
      <c r="X139" s="366"/>
      <c r="Y139" s="347"/>
      <c r="Z139" s="365"/>
      <c r="AA139" s="366"/>
      <c r="AB139" s="347"/>
      <c r="AC139" s="365"/>
      <c r="AD139" s="366"/>
      <c r="AE139" s="347"/>
      <c r="AF139" s="365"/>
      <c r="AG139" s="366"/>
      <c r="AH139" s="347"/>
      <c r="AI139" s="365"/>
      <c r="AJ139" s="366"/>
      <c r="AK139" s="347"/>
      <c r="AL139" s="365"/>
      <c r="AM139" s="366"/>
      <c r="AN139" s="347"/>
      <c r="AO139" s="365"/>
      <c r="AP139" s="366"/>
      <c r="AQ139" s="347"/>
      <c r="AS139" s="231"/>
      <c r="AT139" s="231"/>
      <c r="AU139" s="231"/>
      <c r="AV139" s="231"/>
      <c r="AW139" s="231"/>
      <c r="AX139" s="231"/>
      <c r="AY139" s="231"/>
      <c r="AZ139" s="231"/>
      <c r="BA139" s="231"/>
      <c r="BB139" s="231"/>
      <c r="BC139" s="231"/>
      <c r="BD139" s="231"/>
      <c r="BE139" s="231"/>
      <c r="BF139" s="231"/>
      <c r="BG139" s="231"/>
      <c r="BH139" s="231"/>
      <c r="BI139" s="231"/>
      <c r="BJ139" s="231"/>
      <c r="BK139" s="231"/>
      <c r="BL139" s="231"/>
      <c r="BM139" s="231"/>
      <c r="BN139" s="231"/>
      <c r="BO139" s="231"/>
      <c r="BP139" s="231"/>
      <c r="BQ139" s="231"/>
    </row>
    <row r="140" spans="1:81" s="230" customFormat="1" ht="16.5" customHeight="1" thickBot="1" x14ac:dyDescent="0.3">
      <c r="A140" s="367" t="s">
        <v>21</v>
      </c>
      <c r="B140" s="368"/>
      <c r="C140" s="369"/>
      <c r="D140" s="368"/>
      <c r="E140" s="263"/>
      <c r="F140" s="368" t="s">
        <v>25</v>
      </c>
      <c r="G140" s="262"/>
      <c r="H140" s="370">
        <f>SUM(H133,H138)</f>
        <v>21.348045978110886</v>
      </c>
      <c r="I140" s="371" t="s">
        <v>2</v>
      </c>
      <c r="J140" s="372">
        <f>SUM(J133,J138)</f>
        <v>5.092677113494025</v>
      </c>
      <c r="K140" s="370">
        <f>SUM(K133,K138)</f>
        <v>21.038207443520744</v>
      </c>
      <c r="L140" s="371" t="s">
        <v>2</v>
      </c>
      <c r="M140" s="372">
        <f>SUM(M133,M138)</f>
        <v>4.3607967808906247</v>
      </c>
      <c r="N140" s="370">
        <f>SUM(N133,N138)</f>
        <v>20.85940090145769</v>
      </c>
      <c r="O140" s="371" t="s">
        <v>2</v>
      </c>
      <c r="P140" s="372">
        <f>SUM(P133,P138)</f>
        <v>4.3251167022156256</v>
      </c>
      <c r="Q140" s="370">
        <f>SUM(Q133,Q138)</f>
        <v>20.890156500348667</v>
      </c>
      <c r="R140" s="371" t="s">
        <v>2</v>
      </c>
      <c r="S140" s="372">
        <f>SUM(S133,S138)</f>
        <v>4.3552379346968753</v>
      </c>
      <c r="T140" s="370">
        <f>SUM(T133,T138)</f>
        <v>21.667624035329261</v>
      </c>
      <c r="U140" s="371" t="s">
        <v>2</v>
      </c>
      <c r="V140" s="372">
        <f>SUM(V133,V138)</f>
        <v>4.8627132030406255</v>
      </c>
      <c r="W140" s="370">
        <f>SUM(W133,W138)</f>
        <v>21.861254650165144</v>
      </c>
      <c r="X140" s="371" t="s">
        <v>2</v>
      </c>
      <c r="Y140" s="372">
        <f>SUM(Y133,Y138)</f>
        <v>4.8938355863781249</v>
      </c>
      <c r="Z140" s="370">
        <f>SUM(Z133,Z138)</f>
        <v>21.967569427137928</v>
      </c>
      <c r="AA140" s="371" t="s">
        <v>2</v>
      </c>
      <c r="AB140" s="372">
        <f>SUM(AB133,AB138)</f>
        <v>4.944533405390624</v>
      </c>
      <c r="AC140" s="370">
        <f>SUM(AC133,AC138)</f>
        <v>21.819759878222115</v>
      </c>
      <c r="AD140" s="371" t="s">
        <v>2</v>
      </c>
      <c r="AE140" s="372">
        <f>SUM(AE133,AE138)</f>
        <v>4.8794597231921877</v>
      </c>
      <c r="AF140" s="370">
        <f>SUM(AF133,AF138)</f>
        <v>21.781509447915763</v>
      </c>
      <c r="AG140" s="371" t="s">
        <v>2</v>
      </c>
      <c r="AH140" s="372">
        <f>SUM(AH133,AH138)</f>
        <v>4.9208008382937498</v>
      </c>
      <c r="AI140" s="370">
        <f>SUM(AI133,AI138)</f>
        <v>21.651004406196982</v>
      </c>
      <c r="AJ140" s="371" t="s">
        <v>2</v>
      </c>
      <c r="AK140" s="372">
        <f>SUM(AK133,AK138)</f>
        <v>4.8931429379671876</v>
      </c>
      <c r="AL140" s="370">
        <f>SUM(AL133,AL138)</f>
        <v>21.271172697313396</v>
      </c>
      <c r="AM140" s="371" t="s">
        <v>2</v>
      </c>
      <c r="AN140" s="372">
        <f>SUM(AN133,AN138)</f>
        <v>4.7992378124093751</v>
      </c>
      <c r="AO140" s="370">
        <f>SUM(AO133,AO138)</f>
        <v>20.758855413187611</v>
      </c>
      <c r="AP140" s="371" t="s">
        <v>2</v>
      </c>
      <c r="AQ140" s="372">
        <f>SUM(AQ133,AQ138)</f>
        <v>4.7089959076656251</v>
      </c>
      <c r="AS140" s="231"/>
      <c r="AT140" s="231"/>
      <c r="AU140" s="231"/>
      <c r="AV140" s="231"/>
      <c r="AW140" s="231"/>
      <c r="AX140" s="231"/>
      <c r="AY140" s="231"/>
      <c r="AZ140" s="231"/>
      <c r="BA140" s="231"/>
      <c r="BB140" s="231"/>
      <c r="BC140" s="231"/>
      <c r="BD140" s="231"/>
      <c r="BE140" s="231"/>
      <c r="BF140" s="231"/>
      <c r="BG140" s="231"/>
      <c r="BH140" s="231"/>
      <c r="BI140" s="231"/>
      <c r="BJ140" s="231"/>
      <c r="BK140" s="231"/>
      <c r="BL140" s="231"/>
      <c r="BM140" s="231"/>
      <c r="BN140" s="231"/>
      <c r="BO140" s="231"/>
      <c r="BP140" s="231"/>
      <c r="BQ140" s="231"/>
    </row>
    <row r="141" spans="1:81" s="230" customFormat="1" ht="16.5" customHeight="1" x14ac:dyDescent="0.25">
      <c r="A141" s="373" t="s">
        <v>107</v>
      </c>
      <c r="B141" s="363"/>
      <c r="C141" s="363"/>
      <c r="D141" s="363"/>
      <c r="E141" s="363"/>
      <c r="F141" s="363"/>
      <c r="G141" s="363"/>
      <c r="H141" s="363"/>
      <c r="I141" s="374">
        <f>J140/H140</f>
        <v>0.23855471918674789</v>
      </c>
      <c r="J141" s="363"/>
      <c r="K141" s="363"/>
      <c r="L141" s="374">
        <f>M140/K140</f>
        <v>0.20727986415181224</v>
      </c>
      <c r="M141" s="363"/>
      <c r="N141" s="363"/>
      <c r="O141" s="374">
        <f>P140/N140</f>
        <v>0.2073461612175726</v>
      </c>
      <c r="P141" s="363"/>
      <c r="Q141" s="363"/>
      <c r="R141" s="374">
        <f>S140/Q140</f>
        <v>0.20848278157342595</v>
      </c>
      <c r="S141" s="363"/>
      <c r="T141" s="363"/>
      <c r="U141" s="374">
        <f>V140/T140</f>
        <v>0.2244230006535062</v>
      </c>
      <c r="V141" s="363"/>
      <c r="W141" s="363"/>
      <c r="X141" s="374">
        <f>Y140/W140</f>
        <v>0.22385886193138307</v>
      </c>
      <c r="Y141" s="363"/>
      <c r="Z141" s="363"/>
      <c r="AA141" s="374">
        <f>AB140/Z140</f>
        <v>0.22508331756003599</v>
      </c>
      <c r="AB141" s="363"/>
      <c r="AC141" s="363"/>
      <c r="AD141" s="374">
        <f>AE140/AC140</f>
        <v>0.22362572963336241</v>
      </c>
      <c r="AE141" s="363"/>
      <c r="AF141" s="363"/>
      <c r="AG141" s="374">
        <f>AH140/AF140</f>
        <v>0.22591642925667915</v>
      </c>
      <c r="AH141" s="363"/>
      <c r="AI141" s="363"/>
      <c r="AJ141" s="374">
        <f>AK140/AI140</f>
        <v>0.2260007363245774</v>
      </c>
      <c r="AK141" s="363"/>
      <c r="AL141" s="363"/>
      <c r="AM141" s="374">
        <f>AN140/AL140</f>
        <v>0.22562168436606841</v>
      </c>
      <c r="AN141" s="363"/>
      <c r="AO141" s="363"/>
      <c r="AP141" s="374">
        <f>AQ140/AO140</f>
        <v>0.22684275283665742</v>
      </c>
      <c r="AQ141" s="363"/>
      <c r="AS141" s="231"/>
      <c r="AT141" s="231"/>
      <c r="AU141" s="231"/>
      <c r="AV141" s="231"/>
      <c r="AW141" s="231"/>
      <c r="AX141" s="231"/>
      <c r="AY141" s="231"/>
      <c r="AZ141" s="231"/>
      <c r="BA141" s="231"/>
      <c r="BB141" s="231"/>
      <c r="BC141" s="231"/>
      <c r="BD141" s="231"/>
      <c r="BE141" s="231"/>
      <c r="BF141" s="231"/>
      <c r="BG141" s="231"/>
      <c r="BH141" s="231"/>
      <c r="BI141" s="231"/>
      <c r="BJ141" s="231"/>
      <c r="BK141" s="231"/>
      <c r="BL141" s="231"/>
      <c r="BM141" s="231"/>
      <c r="BN141" s="231"/>
      <c r="BO141" s="231"/>
      <c r="BP141" s="231"/>
      <c r="BQ141" s="231"/>
    </row>
    <row r="142" spans="1:81" s="375" customFormat="1" ht="16.5" customHeight="1" x14ac:dyDescent="0.25">
      <c r="A142" s="373" t="s">
        <v>65</v>
      </c>
      <c r="B142" s="373"/>
      <c r="C142" s="373"/>
      <c r="D142" s="373"/>
      <c r="E142" s="373"/>
      <c r="F142" s="373"/>
      <c r="T142" s="376"/>
      <c r="U142" s="377"/>
      <c r="AR142" s="230"/>
      <c r="AS142" s="231"/>
      <c r="AT142" s="231"/>
      <c r="AU142" s="231"/>
      <c r="AV142" s="231"/>
      <c r="AW142" s="231"/>
      <c r="AX142" s="231"/>
      <c r="AY142" s="231"/>
      <c r="AZ142" s="231"/>
      <c r="BA142" s="379"/>
      <c r="BB142" s="379"/>
      <c r="BC142" s="379"/>
      <c r="BD142" s="379"/>
      <c r="BE142" s="379"/>
      <c r="BF142" s="379"/>
      <c r="BG142" s="379"/>
      <c r="BH142" s="379"/>
      <c r="BI142" s="379"/>
      <c r="BJ142" s="379"/>
      <c r="BK142" s="379"/>
      <c r="BL142" s="379"/>
      <c r="BM142" s="379"/>
      <c r="BN142" s="379"/>
      <c r="BO142" s="379"/>
      <c r="BP142" s="379"/>
      <c r="BQ142" s="379"/>
    </row>
    <row r="143" spans="1:81" s="492" customFormat="1" ht="18" customHeight="1" x14ac:dyDescent="0.25">
      <c r="I143" s="493"/>
      <c r="J143" s="493"/>
      <c r="L143" s="493"/>
      <c r="M143" s="493"/>
      <c r="O143" s="493"/>
      <c r="P143" s="493"/>
      <c r="R143" s="493"/>
      <c r="S143" s="493"/>
      <c r="U143" s="493"/>
      <c r="V143" s="493"/>
      <c r="X143" s="493"/>
      <c r="Y143" s="493"/>
      <c r="AA143" s="493"/>
      <c r="AB143" s="493"/>
      <c r="AD143" s="493"/>
      <c r="AE143" s="493"/>
      <c r="AG143" s="493"/>
      <c r="AH143" s="493"/>
      <c r="AJ143" s="493"/>
      <c r="AK143" s="493"/>
      <c r="AM143" s="493"/>
      <c r="AN143" s="493"/>
      <c r="AP143" s="493"/>
      <c r="AQ143" s="493"/>
      <c r="AS143" s="494"/>
      <c r="AT143" s="494"/>
      <c r="AU143" s="494"/>
      <c r="AV143" s="494"/>
      <c r="AW143" s="494"/>
      <c r="AX143" s="494"/>
      <c r="AY143" s="494"/>
      <c r="AZ143" s="494"/>
      <c r="BA143" s="494"/>
      <c r="BB143" s="494"/>
      <c r="BC143" s="494"/>
      <c r="BD143" s="494"/>
      <c r="BE143" s="494"/>
      <c r="BF143" s="494"/>
      <c r="BG143" s="494"/>
      <c r="BH143" s="494"/>
      <c r="BI143" s="494"/>
      <c r="BJ143" s="494"/>
      <c r="BK143" s="494"/>
      <c r="BL143" s="494"/>
      <c r="BM143" s="494"/>
      <c r="BN143" s="494"/>
      <c r="BO143" s="494"/>
      <c r="BP143" s="494"/>
      <c r="BQ143" s="494"/>
    </row>
    <row r="144" spans="1:81" s="492" customFormat="1" ht="18" customHeight="1" x14ac:dyDescent="0.25">
      <c r="I144" s="493"/>
      <c r="J144" s="493"/>
      <c r="L144" s="493"/>
      <c r="M144" s="493"/>
      <c r="O144" s="493"/>
      <c r="P144" s="493"/>
      <c r="R144" s="493"/>
      <c r="S144" s="493"/>
      <c r="U144" s="493"/>
      <c r="V144" s="493"/>
      <c r="X144" s="493"/>
      <c r="Y144" s="493"/>
      <c r="AA144" s="493"/>
      <c r="AB144" s="493"/>
      <c r="AD144" s="493"/>
      <c r="AE144" s="493"/>
      <c r="AG144" s="493"/>
      <c r="AH144" s="493"/>
      <c r="AJ144" s="493"/>
      <c r="AK144" s="493"/>
      <c r="AM144" s="493"/>
      <c r="AN144" s="493"/>
      <c r="AP144" s="493"/>
      <c r="AQ144" s="493"/>
      <c r="AS144" s="494"/>
      <c r="AT144" s="494"/>
      <c r="AU144" s="494"/>
      <c r="AV144" s="494"/>
      <c r="AW144" s="494"/>
      <c r="AX144" s="494"/>
      <c r="AY144" s="494"/>
      <c r="AZ144" s="494"/>
      <c r="BA144" s="494"/>
      <c r="BB144" s="494"/>
      <c r="BC144" s="494"/>
      <c r="BD144" s="494"/>
      <c r="BE144" s="494"/>
      <c r="BF144" s="494"/>
      <c r="BG144" s="494"/>
      <c r="BH144" s="494"/>
      <c r="BI144" s="494"/>
      <c r="BJ144" s="494"/>
      <c r="BK144" s="494"/>
      <c r="BL144" s="494"/>
      <c r="BM144" s="494"/>
      <c r="BN144" s="494"/>
      <c r="BO144" s="494"/>
      <c r="BP144" s="494"/>
      <c r="BQ144" s="494"/>
    </row>
    <row r="146" spans="6:43" ht="14.25" x14ac:dyDescent="0.2">
      <c r="F146" s="388"/>
      <c r="G146" s="388"/>
      <c r="I146" s="388"/>
      <c r="J146" s="388"/>
      <c r="K146" s="388"/>
      <c r="L146" s="388"/>
      <c r="M146" s="388"/>
      <c r="N146" s="388"/>
      <c r="O146" s="388"/>
      <c r="P146" s="388"/>
      <c r="Q146" s="388"/>
      <c r="R146" s="388"/>
      <c r="S146" s="388"/>
      <c r="T146" s="388"/>
      <c r="U146" s="388"/>
      <c r="V146" s="388"/>
      <c r="W146" s="388"/>
      <c r="X146" s="388"/>
      <c r="Y146" s="388"/>
      <c r="Z146" s="388"/>
      <c r="AA146" s="388"/>
      <c r="AB146" s="388"/>
      <c r="AC146" s="388"/>
      <c r="AD146" s="388"/>
      <c r="AE146" s="388"/>
      <c r="AF146" s="388"/>
      <c r="AG146" s="388"/>
      <c r="AH146" s="388"/>
      <c r="AI146" s="388"/>
      <c r="AJ146" s="388"/>
      <c r="AK146" s="388"/>
      <c r="AL146" s="388"/>
      <c r="AM146" s="388"/>
      <c r="AN146" s="388"/>
      <c r="AO146" s="388"/>
      <c r="AP146" s="387"/>
      <c r="AQ146" s="387"/>
    </row>
    <row r="147" spans="6:43" ht="14.25" x14ac:dyDescent="0.2">
      <c r="I147" s="388"/>
      <c r="J147" s="388"/>
      <c r="AP147" s="387"/>
      <c r="AQ147" s="387"/>
    </row>
    <row r="148" spans="6:43" ht="14.25" x14ac:dyDescent="0.2">
      <c r="AP148" s="386"/>
      <c r="AQ148" s="386"/>
    </row>
    <row r="149" spans="6:43" ht="14.25" x14ac:dyDescent="0.2">
      <c r="AP149" s="387"/>
      <c r="AQ149" s="387"/>
    </row>
    <row r="150" spans="6:43" x14ac:dyDescent="0.2">
      <c r="I150" s="388"/>
      <c r="J150" s="388"/>
    </row>
  </sheetData>
  <mergeCells count="477">
    <mergeCell ref="AL136:AN137"/>
    <mergeCell ref="AO136:AQ137"/>
    <mergeCell ref="H137:I137"/>
    <mergeCell ref="K137:L137"/>
    <mergeCell ref="N137:O137"/>
    <mergeCell ref="Q137:R137"/>
    <mergeCell ref="A134:A138"/>
    <mergeCell ref="E136:F136"/>
    <mergeCell ref="T136:V137"/>
    <mergeCell ref="W136:Y137"/>
    <mergeCell ref="Z136:AB137"/>
    <mergeCell ref="AC136:AE137"/>
    <mergeCell ref="B138:G138"/>
    <mergeCell ref="A139:G139"/>
    <mergeCell ref="AF136:AH137"/>
    <mergeCell ref="AI136:AK137"/>
    <mergeCell ref="AL131:AN132"/>
    <mergeCell ref="AO131:AQ132"/>
    <mergeCell ref="H132:I132"/>
    <mergeCell ref="K132:L132"/>
    <mergeCell ref="N132:O132"/>
    <mergeCell ref="Q132:R132"/>
    <mergeCell ref="T131:V132"/>
    <mergeCell ref="W131:Y132"/>
    <mergeCell ref="Z131:AB132"/>
    <mergeCell ref="AC131:AE132"/>
    <mergeCell ref="AF131:AH132"/>
    <mergeCell ref="AI131:AK132"/>
    <mergeCell ref="A109:C109"/>
    <mergeCell ref="A124:G124"/>
    <mergeCell ref="A125:G125"/>
    <mergeCell ref="A126:G126"/>
    <mergeCell ref="A129:A133"/>
    <mergeCell ref="E131:F131"/>
    <mergeCell ref="B133:G133"/>
    <mergeCell ref="Z108:AB109"/>
    <mergeCell ref="AF100:AH101"/>
    <mergeCell ref="AI100:AK101"/>
    <mergeCell ref="AL100:AN101"/>
    <mergeCell ref="AO100:AQ101"/>
    <mergeCell ref="W108:Y109"/>
    <mergeCell ref="A101:C101"/>
    <mergeCell ref="A104:G104"/>
    <mergeCell ref="A105:G105"/>
    <mergeCell ref="A106:G106"/>
    <mergeCell ref="A108:C108"/>
    <mergeCell ref="D108:E108"/>
    <mergeCell ref="F108:G108"/>
    <mergeCell ref="H100:J101"/>
    <mergeCell ref="K100:M101"/>
    <mergeCell ref="AC108:AE109"/>
    <mergeCell ref="AF108:AH109"/>
    <mergeCell ref="AI108:AK109"/>
    <mergeCell ref="AL108:AN109"/>
    <mergeCell ref="AO108:AQ109"/>
    <mergeCell ref="H108:J109"/>
    <mergeCell ref="K108:M109"/>
    <mergeCell ref="N108:P109"/>
    <mergeCell ref="Q108:S109"/>
    <mergeCell ref="T108:V109"/>
    <mergeCell ref="A93:C95"/>
    <mergeCell ref="D93:E95"/>
    <mergeCell ref="F93:G93"/>
    <mergeCell ref="F94:G94"/>
    <mergeCell ref="F95:G95"/>
    <mergeCell ref="A100:C100"/>
    <mergeCell ref="D100:E100"/>
    <mergeCell ref="F100:G100"/>
    <mergeCell ref="AC92:AE92"/>
    <mergeCell ref="N100:P101"/>
    <mergeCell ref="Q100:S101"/>
    <mergeCell ref="T100:V101"/>
    <mergeCell ref="W100:Y101"/>
    <mergeCell ref="E96:F96"/>
    <mergeCell ref="E97:F97"/>
    <mergeCell ref="E98:F98"/>
    <mergeCell ref="Z100:AB101"/>
    <mergeCell ref="AC100:AE101"/>
    <mergeCell ref="AF91:AH91"/>
    <mergeCell ref="AI91:AK91"/>
    <mergeCell ref="AL91:AN91"/>
    <mergeCell ref="AO91:AQ91"/>
    <mergeCell ref="D92:G92"/>
    <mergeCell ref="H92:J92"/>
    <mergeCell ref="K92:M92"/>
    <mergeCell ref="N92:P92"/>
    <mergeCell ref="Q92:S92"/>
    <mergeCell ref="T92:V92"/>
    <mergeCell ref="W92:Y92"/>
    <mergeCell ref="Z92:AB92"/>
    <mergeCell ref="AL92:AN92"/>
    <mergeCell ref="AO92:AQ92"/>
    <mergeCell ref="AF92:AH92"/>
    <mergeCell ref="AI92:AK92"/>
    <mergeCell ref="F91:G91"/>
    <mergeCell ref="H91:J91"/>
    <mergeCell ref="K91:M91"/>
    <mergeCell ref="N91:P91"/>
    <mergeCell ref="Q91:S91"/>
    <mergeCell ref="T91:V91"/>
    <mergeCell ref="W91:Y91"/>
    <mergeCell ref="Z91:AB91"/>
    <mergeCell ref="AC91:AE91"/>
    <mergeCell ref="AI89:AK89"/>
    <mergeCell ref="AL89:AN89"/>
    <mergeCell ref="AO89:AQ89"/>
    <mergeCell ref="F90:G90"/>
    <mergeCell ref="H90:J90"/>
    <mergeCell ref="K90:M90"/>
    <mergeCell ref="N90:P90"/>
    <mergeCell ref="Q90:S90"/>
    <mergeCell ref="T90:V90"/>
    <mergeCell ref="W90:Y90"/>
    <mergeCell ref="Z90:AB90"/>
    <mergeCell ref="AC90:AE90"/>
    <mergeCell ref="AF90:AH90"/>
    <mergeCell ref="AI90:AK90"/>
    <mergeCell ref="AL90:AN90"/>
    <mergeCell ref="AO90:AQ90"/>
    <mergeCell ref="H89:J89"/>
    <mergeCell ref="K89:M89"/>
    <mergeCell ref="N89:P89"/>
    <mergeCell ref="Q89:S89"/>
    <mergeCell ref="T89:V89"/>
    <mergeCell ref="W89:Y89"/>
    <mergeCell ref="Z89:AB89"/>
    <mergeCell ref="AC89:AE89"/>
    <mergeCell ref="AF89:AH89"/>
    <mergeCell ref="AI84:AK84"/>
    <mergeCell ref="AL84:AN84"/>
    <mergeCell ref="AO84:AQ84"/>
    <mergeCell ref="A85:B92"/>
    <mergeCell ref="C85:C92"/>
    <mergeCell ref="D85:E87"/>
    <mergeCell ref="F85:G85"/>
    <mergeCell ref="F86:G86"/>
    <mergeCell ref="F87:G87"/>
    <mergeCell ref="D88:G88"/>
    <mergeCell ref="H88:J88"/>
    <mergeCell ref="K88:M88"/>
    <mergeCell ref="N88:P88"/>
    <mergeCell ref="Q88:S88"/>
    <mergeCell ref="T88:V88"/>
    <mergeCell ref="W88:Y88"/>
    <mergeCell ref="Z88:AB88"/>
    <mergeCell ref="AC88:AE88"/>
    <mergeCell ref="AF88:AH88"/>
    <mergeCell ref="AI88:AK88"/>
    <mergeCell ref="AL88:AN88"/>
    <mergeCell ref="AO88:AQ88"/>
    <mergeCell ref="D89:E91"/>
    <mergeCell ref="F89:G89"/>
    <mergeCell ref="H84:J84"/>
    <mergeCell ref="K84:M84"/>
    <mergeCell ref="N84:P84"/>
    <mergeCell ref="Q84:S84"/>
    <mergeCell ref="T84:V84"/>
    <mergeCell ref="W84:Y84"/>
    <mergeCell ref="Z84:AB84"/>
    <mergeCell ref="AC84:AE84"/>
    <mergeCell ref="AF84:AH84"/>
    <mergeCell ref="Z82:AB82"/>
    <mergeCell ref="AC82:AE82"/>
    <mergeCell ref="AF82:AH82"/>
    <mergeCell ref="AI82:AK82"/>
    <mergeCell ref="AL82:AN82"/>
    <mergeCell ref="AO82:AQ82"/>
    <mergeCell ref="F83:G83"/>
    <mergeCell ref="H83:J83"/>
    <mergeCell ref="K83:M83"/>
    <mergeCell ref="N83:P83"/>
    <mergeCell ref="Q83:S83"/>
    <mergeCell ref="T83:V83"/>
    <mergeCell ref="W83:Y83"/>
    <mergeCell ref="Z83:AB83"/>
    <mergeCell ref="AC83:AE83"/>
    <mergeCell ref="AF83:AH83"/>
    <mergeCell ref="AI83:AK83"/>
    <mergeCell ref="AL83:AN83"/>
    <mergeCell ref="AO83:AQ83"/>
    <mergeCell ref="AI80:AK80"/>
    <mergeCell ref="AL80:AN80"/>
    <mergeCell ref="AO80:AQ80"/>
    <mergeCell ref="D81:E83"/>
    <mergeCell ref="F81:G81"/>
    <mergeCell ref="H81:J81"/>
    <mergeCell ref="K81:M81"/>
    <mergeCell ref="N81:P81"/>
    <mergeCell ref="Q81:S81"/>
    <mergeCell ref="T81:V81"/>
    <mergeCell ref="W81:Y81"/>
    <mergeCell ref="Z81:AB81"/>
    <mergeCell ref="AC81:AE81"/>
    <mergeCell ref="AF81:AH81"/>
    <mergeCell ref="AI81:AK81"/>
    <mergeCell ref="AL81:AN81"/>
    <mergeCell ref="AO81:AQ81"/>
    <mergeCell ref="F82:G82"/>
    <mergeCell ref="H82:J82"/>
    <mergeCell ref="K82:M82"/>
    <mergeCell ref="N82:P82"/>
    <mergeCell ref="Q82:S82"/>
    <mergeCell ref="T82:V82"/>
    <mergeCell ref="W82:Y82"/>
    <mergeCell ref="H80:J80"/>
    <mergeCell ref="K80:M80"/>
    <mergeCell ref="N80:P80"/>
    <mergeCell ref="Q80:S80"/>
    <mergeCell ref="T80:V80"/>
    <mergeCell ref="W80:Y80"/>
    <mergeCell ref="Z80:AB80"/>
    <mergeCell ref="AC80:AE80"/>
    <mergeCell ref="AF80:AH80"/>
    <mergeCell ref="A75:B76"/>
    <mergeCell ref="C75:C76"/>
    <mergeCell ref="D75:G76"/>
    <mergeCell ref="A77:B84"/>
    <mergeCell ref="C77:C84"/>
    <mergeCell ref="D77:E79"/>
    <mergeCell ref="F77:G77"/>
    <mergeCell ref="F78:G78"/>
    <mergeCell ref="F79:G79"/>
    <mergeCell ref="D80:G80"/>
    <mergeCell ref="D84:G84"/>
    <mergeCell ref="AL66:AN67"/>
    <mergeCell ref="AO66:AQ67"/>
    <mergeCell ref="H67:I67"/>
    <mergeCell ref="K67:L67"/>
    <mergeCell ref="N67:O67"/>
    <mergeCell ref="Q67:R67"/>
    <mergeCell ref="A69:G69"/>
    <mergeCell ref="A74:G74"/>
    <mergeCell ref="H74:J74"/>
    <mergeCell ref="K74:M74"/>
    <mergeCell ref="N74:P74"/>
    <mergeCell ref="Q74:S74"/>
    <mergeCell ref="T74:V74"/>
    <mergeCell ref="W74:Y74"/>
    <mergeCell ref="Z74:AB74"/>
    <mergeCell ref="AC74:AE74"/>
    <mergeCell ref="AF74:AH74"/>
    <mergeCell ref="AI74:AK74"/>
    <mergeCell ref="AL74:AN74"/>
    <mergeCell ref="AO74:AQ74"/>
    <mergeCell ref="A64:A68"/>
    <mergeCell ref="E66:F66"/>
    <mergeCell ref="T66:V67"/>
    <mergeCell ref="W66:Y67"/>
    <mergeCell ref="Z66:AB67"/>
    <mergeCell ref="AC66:AE67"/>
    <mergeCell ref="B68:G68"/>
    <mergeCell ref="AF66:AH67"/>
    <mergeCell ref="AI66:AK67"/>
    <mergeCell ref="AL61:AN62"/>
    <mergeCell ref="AO61:AQ62"/>
    <mergeCell ref="H62:I62"/>
    <mergeCell ref="K62:L62"/>
    <mergeCell ref="N62:O62"/>
    <mergeCell ref="Q62:R62"/>
    <mergeCell ref="T61:V62"/>
    <mergeCell ref="W61:Y62"/>
    <mergeCell ref="Z61:AB62"/>
    <mergeCell ref="AC61:AE62"/>
    <mergeCell ref="AF61:AH62"/>
    <mergeCell ref="AI61:AK62"/>
    <mergeCell ref="A39:C39"/>
    <mergeCell ref="A54:G54"/>
    <mergeCell ref="A55:G55"/>
    <mergeCell ref="A56:G56"/>
    <mergeCell ref="A59:A63"/>
    <mergeCell ref="E61:F61"/>
    <mergeCell ref="B63:G63"/>
    <mergeCell ref="Z38:AB39"/>
    <mergeCell ref="AC38:AE39"/>
    <mergeCell ref="AF38:AH39"/>
    <mergeCell ref="AI38:AK39"/>
    <mergeCell ref="AL38:AN39"/>
    <mergeCell ref="AO38:AQ39"/>
    <mergeCell ref="H38:J39"/>
    <mergeCell ref="K38:M39"/>
    <mergeCell ref="N38:P39"/>
    <mergeCell ref="Q38:S39"/>
    <mergeCell ref="T38:V39"/>
    <mergeCell ref="W38:Y39"/>
    <mergeCell ref="A31:C31"/>
    <mergeCell ref="A34:G34"/>
    <mergeCell ref="A35:G35"/>
    <mergeCell ref="A36:G36"/>
    <mergeCell ref="A38:C38"/>
    <mergeCell ref="D38:E38"/>
    <mergeCell ref="F38:G38"/>
    <mergeCell ref="H30:J31"/>
    <mergeCell ref="K30:M31"/>
    <mergeCell ref="A30:C30"/>
    <mergeCell ref="D30:E30"/>
    <mergeCell ref="F30:G30"/>
    <mergeCell ref="AO22:AQ22"/>
    <mergeCell ref="A23:C25"/>
    <mergeCell ref="D23:E25"/>
    <mergeCell ref="F23:G23"/>
    <mergeCell ref="F24:G24"/>
    <mergeCell ref="F25:G25"/>
    <mergeCell ref="W22:Y22"/>
    <mergeCell ref="N30:P31"/>
    <mergeCell ref="Q30:S31"/>
    <mergeCell ref="T30:V31"/>
    <mergeCell ref="W30:Y31"/>
    <mergeCell ref="E26:F26"/>
    <mergeCell ref="E27:F27"/>
    <mergeCell ref="E28:F28"/>
    <mergeCell ref="Z30:AB31"/>
    <mergeCell ref="AC30:AE31"/>
    <mergeCell ref="AF30:AH31"/>
    <mergeCell ref="AI30:AK31"/>
    <mergeCell ref="AL30:AN31"/>
    <mergeCell ref="AO30:AQ31"/>
    <mergeCell ref="AO21:AQ21"/>
    <mergeCell ref="D22:G22"/>
    <mergeCell ref="H22:J22"/>
    <mergeCell ref="K22:M22"/>
    <mergeCell ref="N22:P22"/>
    <mergeCell ref="Q22:S22"/>
    <mergeCell ref="T22:V22"/>
    <mergeCell ref="Z22:AB22"/>
    <mergeCell ref="AC22:AE22"/>
    <mergeCell ref="AF22:AH22"/>
    <mergeCell ref="AI22:AK22"/>
    <mergeCell ref="AL22:AN22"/>
    <mergeCell ref="AF21:AH21"/>
    <mergeCell ref="AI21:AK21"/>
    <mergeCell ref="AL21:AN21"/>
    <mergeCell ref="F21:G21"/>
    <mergeCell ref="H21:J21"/>
    <mergeCell ref="K21:M21"/>
    <mergeCell ref="N21:P21"/>
    <mergeCell ref="Q21:S21"/>
    <mergeCell ref="T21:V21"/>
    <mergeCell ref="W21:Y21"/>
    <mergeCell ref="Z21:AB21"/>
    <mergeCell ref="AC21:AE21"/>
    <mergeCell ref="AI19:AK19"/>
    <mergeCell ref="AL19:AN19"/>
    <mergeCell ref="AO19:AQ19"/>
    <mergeCell ref="F20:G20"/>
    <mergeCell ref="H20:J20"/>
    <mergeCell ref="K20:M20"/>
    <mergeCell ref="N20:P20"/>
    <mergeCell ref="Q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H19:J19"/>
    <mergeCell ref="K19:M19"/>
    <mergeCell ref="N19:P19"/>
    <mergeCell ref="Q19:S19"/>
    <mergeCell ref="T19:V19"/>
    <mergeCell ref="W19:Y19"/>
    <mergeCell ref="Z19:AB19"/>
    <mergeCell ref="AC19:AE19"/>
    <mergeCell ref="AF19:AH19"/>
    <mergeCell ref="AI14:AK14"/>
    <mergeCell ref="AL14:AN14"/>
    <mergeCell ref="AO14:AQ14"/>
    <mergeCell ref="A15:B22"/>
    <mergeCell ref="C15:C22"/>
    <mergeCell ref="D15:E17"/>
    <mergeCell ref="F15:G15"/>
    <mergeCell ref="F16:G16"/>
    <mergeCell ref="F17:G17"/>
    <mergeCell ref="D18:G18"/>
    <mergeCell ref="H18:J18"/>
    <mergeCell ref="K18:M18"/>
    <mergeCell ref="N18:P18"/>
    <mergeCell ref="Q18:S18"/>
    <mergeCell ref="T18:V18"/>
    <mergeCell ref="W18:Y18"/>
    <mergeCell ref="Z18:AB18"/>
    <mergeCell ref="AC18:AE18"/>
    <mergeCell ref="AF18:AH18"/>
    <mergeCell ref="AI18:AK18"/>
    <mergeCell ref="AL18:AN18"/>
    <mergeCell ref="AO18:AQ18"/>
    <mergeCell ref="D19:E21"/>
    <mergeCell ref="F19:G19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Z12:AB12"/>
    <mergeCell ref="AC12:AE12"/>
    <mergeCell ref="AF12:AH12"/>
    <mergeCell ref="AI12:AK12"/>
    <mergeCell ref="AL12:AN12"/>
    <mergeCell ref="AO12:AQ12"/>
    <mergeCell ref="F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I10:AK10"/>
    <mergeCell ref="AL10:AN10"/>
    <mergeCell ref="AO10:AQ10"/>
    <mergeCell ref="D11:E13"/>
    <mergeCell ref="F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F12:G12"/>
    <mergeCell ref="H12:J12"/>
    <mergeCell ref="K12:M12"/>
    <mergeCell ref="N12:P12"/>
    <mergeCell ref="Q12:S12"/>
    <mergeCell ref="T12:V12"/>
    <mergeCell ref="W12:Y12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5:B6"/>
    <mergeCell ref="C5:C6"/>
    <mergeCell ref="D5:G6"/>
    <mergeCell ref="A7:B14"/>
    <mergeCell ref="C7:C14"/>
    <mergeCell ref="D7:E9"/>
    <mergeCell ref="F7:G7"/>
    <mergeCell ref="F8:G8"/>
    <mergeCell ref="F9:G9"/>
    <mergeCell ref="D10:G10"/>
    <mergeCell ref="D14:G14"/>
    <mergeCell ref="A1:AQ1"/>
    <mergeCell ref="AN2:AQ2"/>
    <mergeCell ref="BX2:CA2"/>
    <mergeCell ref="A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</mergeCells>
  <pageMargins left="0.7" right="0.7" top="0.75" bottom="0.75" header="0.3" footer="0.3"/>
  <pageSetup paperSize="8" scale="40" fitToHeight="0" orientation="landscape" horizontalDpi="120" verticalDpi="144" r:id="rId1"/>
  <headerFooter alignWithMargins="0">
    <oddFooter xml:space="preserve">&amp;R
</oddFooter>
  </headerFooter>
  <rowBreaks count="1" manualBreakCount="1">
    <brk id="56" max="4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F35"/>
  <sheetViews>
    <sheetView showZeros="0" view="pageBreakPreview" zoomScale="70" zoomScaleNormal="100" zoomScaleSheetLayoutView="70" workbookViewId="0">
      <pane xSplit="7" topLeftCell="BB1" activePane="topRight" state="frozen"/>
      <selection activeCell="T40" sqref="T40:V41"/>
      <selection pane="topRight" activeCell="T40" sqref="T40:V41"/>
    </sheetView>
  </sheetViews>
  <sheetFormatPr defaultRowHeight="12.75" x14ac:dyDescent="0.2"/>
  <cols>
    <col min="1" max="1" width="13.28515625" style="382" customWidth="1"/>
    <col min="2" max="2" width="17" style="382" customWidth="1"/>
    <col min="3" max="3" width="10.42578125" style="382" customWidth="1"/>
    <col min="4" max="4" width="8.140625" style="382" customWidth="1"/>
    <col min="5" max="5" width="3.85546875" style="382" customWidth="1"/>
    <col min="6" max="6" width="8.7109375" style="382" customWidth="1"/>
    <col min="7" max="7" width="7.28515625" style="382" customWidth="1"/>
    <col min="8" max="8" width="10" style="382" customWidth="1"/>
    <col min="9" max="79" width="10.140625" style="382" customWidth="1"/>
    <col min="80" max="16384" width="9.140625" style="382"/>
  </cols>
  <sheetData>
    <row r="1" spans="1:84" ht="26.25" x14ac:dyDescent="0.2">
      <c r="A1" s="599" t="s">
        <v>198</v>
      </c>
      <c r="E1" s="600"/>
    </row>
    <row r="2" spans="1:84" ht="26.25" x14ac:dyDescent="0.2">
      <c r="A2" s="601" t="s">
        <v>155</v>
      </c>
    </row>
    <row r="3" spans="1:84" s="239" customFormat="1" ht="18" thickBot="1" x14ac:dyDescent="0.35">
      <c r="A3" s="230"/>
      <c r="B3" s="231"/>
      <c r="C3" s="231"/>
      <c r="D3" s="231"/>
      <c r="E3" s="231"/>
      <c r="F3" s="233"/>
      <c r="G3" s="231"/>
      <c r="H3" s="231"/>
      <c r="I3" s="230"/>
      <c r="J3" s="230"/>
      <c r="K3" s="231"/>
      <c r="L3" s="230"/>
      <c r="M3" s="230"/>
      <c r="N3" s="231"/>
      <c r="O3" s="230"/>
      <c r="P3" s="230"/>
      <c r="Q3" s="231"/>
      <c r="R3" s="230"/>
      <c r="S3" s="230"/>
      <c r="T3" s="231"/>
      <c r="U3" s="230"/>
      <c r="V3" s="230"/>
      <c r="W3" s="231"/>
      <c r="X3" s="230"/>
      <c r="Y3" s="230"/>
      <c r="Z3" s="231"/>
      <c r="AA3" s="230"/>
      <c r="AB3" s="230"/>
      <c r="AC3" s="231"/>
      <c r="AD3" s="230"/>
      <c r="AE3" s="230"/>
      <c r="AF3" s="231"/>
      <c r="AG3" s="230"/>
      <c r="AH3" s="230"/>
      <c r="AI3" s="231"/>
      <c r="AJ3" s="230"/>
      <c r="AK3" s="230"/>
      <c r="AL3" s="231"/>
      <c r="AM3" s="230"/>
      <c r="AN3" s="230"/>
      <c r="AO3" s="231"/>
      <c r="AP3" s="230"/>
      <c r="AQ3" s="230"/>
      <c r="AR3" s="230"/>
      <c r="AS3" s="230"/>
      <c r="AT3" s="230"/>
      <c r="AU3" s="230"/>
      <c r="AV3" s="230"/>
      <c r="AW3" s="230"/>
      <c r="AX3" s="230"/>
      <c r="AY3" s="230"/>
      <c r="AZ3" s="230"/>
      <c r="BA3" s="230"/>
      <c r="BB3" s="230"/>
      <c r="BC3" s="230"/>
      <c r="BD3" s="230"/>
      <c r="BE3" s="230"/>
      <c r="BF3" s="230"/>
      <c r="BG3" s="230"/>
      <c r="BH3" s="230"/>
      <c r="BI3" s="230"/>
      <c r="BJ3" s="230"/>
      <c r="BK3" s="230"/>
      <c r="BL3" s="230"/>
      <c r="BM3" s="230"/>
      <c r="BN3" s="230"/>
      <c r="BO3" s="230"/>
      <c r="BP3" s="230"/>
      <c r="BQ3" s="230"/>
      <c r="BR3" s="230"/>
      <c r="BS3" s="230"/>
      <c r="BT3" s="230"/>
      <c r="BU3" s="230"/>
      <c r="BV3" s="230"/>
      <c r="BW3" s="230"/>
      <c r="BX3" s="231"/>
      <c r="BY3" s="231"/>
      <c r="BZ3" s="2036"/>
      <c r="CA3" s="2036"/>
      <c r="CB3" s="238"/>
      <c r="CC3" s="238"/>
    </row>
    <row r="4" spans="1:84" s="603" customFormat="1" ht="24.75" customHeight="1" thickBot="1" x14ac:dyDescent="0.25">
      <c r="A4" s="2180" t="s">
        <v>12</v>
      </c>
      <c r="B4" s="2181"/>
      <c r="C4" s="2181"/>
      <c r="D4" s="2181"/>
      <c r="E4" s="2181"/>
      <c r="F4" s="2181"/>
      <c r="G4" s="2182"/>
      <c r="H4" s="2183" t="s">
        <v>156</v>
      </c>
      <c r="I4" s="2184"/>
      <c r="J4" s="2185"/>
      <c r="K4" s="2183" t="s">
        <v>157</v>
      </c>
      <c r="L4" s="2184"/>
      <c r="M4" s="2185"/>
      <c r="N4" s="2183" t="s">
        <v>158</v>
      </c>
      <c r="O4" s="2184"/>
      <c r="P4" s="2185"/>
      <c r="Q4" s="2183" t="s">
        <v>159</v>
      </c>
      <c r="R4" s="2184"/>
      <c r="S4" s="2185"/>
      <c r="T4" s="2183" t="s">
        <v>160</v>
      </c>
      <c r="U4" s="2184"/>
      <c r="V4" s="2185"/>
      <c r="W4" s="2183" t="s">
        <v>161</v>
      </c>
      <c r="X4" s="2184"/>
      <c r="Y4" s="2185"/>
      <c r="Z4" s="2183" t="s">
        <v>162</v>
      </c>
      <c r="AA4" s="2184"/>
      <c r="AB4" s="2185"/>
      <c r="AC4" s="2183" t="s">
        <v>163</v>
      </c>
      <c r="AD4" s="2184"/>
      <c r="AE4" s="2185"/>
      <c r="AF4" s="2183" t="s">
        <v>164</v>
      </c>
      <c r="AG4" s="2184"/>
      <c r="AH4" s="2185"/>
      <c r="AI4" s="2183" t="s">
        <v>165</v>
      </c>
      <c r="AJ4" s="2184"/>
      <c r="AK4" s="2185"/>
      <c r="AL4" s="2183" t="s">
        <v>166</v>
      </c>
      <c r="AM4" s="2184"/>
      <c r="AN4" s="2185"/>
      <c r="AO4" s="2183" t="s">
        <v>167</v>
      </c>
      <c r="AP4" s="2184"/>
      <c r="AQ4" s="2185"/>
      <c r="AR4" s="2183" t="s">
        <v>168</v>
      </c>
      <c r="AS4" s="2184"/>
      <c r="AT4" s="2185"/>
      <c r="AU4" s="2183" t="s">
        <v>169</v>
      </c>
      <c r="AV4" s="2184"/>
      <c r="AW4" s="2185"/>
      <c r="AX4" s="2183" t="s">
        <v>170</v>
      </c>
      <c r="AY4" s="2184"/>
      <c r="AZ4" s="2185"/>
      <c r="BA4" s="2183" t="s">
        <v>171</v>
      </c>
      <c r="BB4" s="2184"/>
      <c r="BC4" s="2185"/>
      <c r="BD4" s="2183" t="s">
        <v>172</v>
      </c>
      <c r="BE4" s="2184"/>
      <c r="BF4" s="2185"/>
      <c r="BG4" s="2183" t="s">
        <v>173</v>
      </c>
      <c r="BH4" s="2184"/>
      <c r="BI4" s="2185"/>
      <c r="BJ4" s="2183" t="s">
        <v>174</v>
      </c>
      <c r="BK4" s="2184"/>
      <c r="BL4" s="2185"/>
      <c r="BM4" s="2183" t="s">
        <v>175</v>
      </c>
      <c r="BN4" s="2184"/>
      <c r="BO4" s="2185"/>
      <c r="BP4" s="2183" t="s">
        <v>176</v>
      </c>
      <c r="BQ4" s="2184"/>
      <c r="BR4" s="2185"/>
      <c r="BS4" s="2183" t="s">
        <v>177</v>
      </c>
      <c r="BT4" s="2184"/>
      <c r="BU4" s="2185"/>
      <c r="BV4" s="2183" t="s">
        <v>178</v>
      </c>
      <c r="BW4" s="2184"/>
      <c r="BX4" s="2185"/>
      <c r="BY4" s="2183" t="s">
        <v>179</v>
      </c>
      <c r="BZ4" s="2184"/>
      <c r="CA4" s="2185"/>
      <c r="CB4" s="602"/>
      <c r="CC4" s="602"/>
    </row>
    <row r="5" spans="1:84" s="603" customFormat="1" ht="18.75" customHeight="1" x14ac:dyDescent="0.2">
      <c r="A5" s="2186" t="s">
        <v>79</v>
      </c>
      <c r="B5" s="2187"/>
      <c r="C5" s="2190" t="s">
        <v>80</v>
      </c>
      <c r="D5" s="2064"/>
      <c r="E5" s="2192"/>
      <c r="F5" s="2192"/>
      <c r="G5" s="2065"/>
      <c r="H5" s="604" t="s">
        <v>4</v>
      </c>
      <c r="I5" s="605" t="s">
        <v>9</v>
      </c>
      <c r="J5" s="606" t="s">
        <v>10</v>
      </c>
      <c r="K5" s="607" t="s">
        <v>4</v>
      </c>
      <c r="L5" s="605" t="s">
        <v>9</v>
      </c>
      <c r="M5" s="606" t="s">
        <v>10</v>
      </c>
      <c r="N5" s="607" t="s">
        <v>4</v>
      </c>
      <c r="O5" s="605" t="s">
        <v>9</v>
      </c>
      <c r="P5" s="606" t="s">
        <v>10</v>
      </c>
      <c r="Q5" s="607" t="s">
        <v>4</v>
      </c>
      <c r="R5" s="605" t="s">
        <v>9</v>
      </c>
      <c r="S5" s="606" t="s">
        <v>10</v>
      </c>
      <c r="T5" s="607" t="s">
        <v>4</v>
      </c>
      <c r="U5" s="605" t="s">
        <v>9</v>
      </c>
      <c r="V5" s="606" t="s">
        <v>10</v>
      </c>
      <c r="W5" s="607" t="s">
        <v>4</v>
      </c>
      <c r="X5" s="605" t="s">
        <v>9</v>
      </c>
      <c r="Y5" s="606" t="s">
        <v>10</v>
      </c>
      <c r="Z5" s="607" t="s">
        <v>4</v>
      </c>
      <c r="AA5" s="605" t="s">
        <v>9</v>
      </c>
      <c r="AB5" s="606" t="s">
        <v>10</v>
      </c>
      <c r="AC5" s="607" t="s">
        <v>4</v>
      </c>
      <c r="AD5" s="605" t="s">
        <v>9</v>
      </c>
      <c r="AE5" s="606" t="s">
        <v>10</v>
      </c>
      <c r="AF5" s="607" t="s">
        <v>4</v>
      </c>
      <c r="AG5" s="605" t="s">
        <v>9</v>
      </c>
      <c r="AH5" s="606" t="s">
        <v>10</v>
      </c>
      <c r="AI5" s="607" t="s">
        <v>4</v>
      </c>
      <c r="AJ5" s="605" t="s">
        <v>9</v>
      </c>
      <c r="AK5" s="606" t="s">
        <v>10</v>
      </c>
      <c r="AL5" s="607" t="s">
        <v>4</v>
      </c>
      <c r="AM5" s="605" t="s">
        <v>9</v>
      </c>
      <c r="AN5" s="606" t="s">
        <v>10</v>
      </c>
      <c r="AO5" s="607" t="s">
        <v>4</v>
      </c>
      <c r="AP5" s="605" t="s">
        <v>9</v>
      </c>
      <c r="AQ5" s="606" t="s">
        <v>10</v>
      </c>
      <c r="AR5" s="607" t="s">
        <v>4</v>
      </c>
      <c r="AS5" s="605" t="s">
        <v>9</v>
      </c>
      <c r="AT5" s="606" t="s">
        <v>10</v>
      </c>
      <c r="AU5" s="607" t="s">
        <v>4</v>
      </c>
      <c r="AV5" s="605" t="s">
        <v>9</v>
      </c>
      <c r="AW5" s="606" t="s">
        <v>10</v>
      </c>
      <c r="AX5" s="607" t="s">
        <v>4</v>
      </c>
      <c r="AY5" s="605" t="s">
        <v>9</v>
      </c>
      <c r="AZ5" s="606" t="s">
        <v>10</v>
      </c>
      <c r="BA5" s="607" t="s">
        <v>4</v>
      </c>
      <c r="BB5" s="605" t="s">
        <v>9</v>
      </c>
      <c r="BC5" s="606" t="s">
        <v>10</v>
      </c>
      <c r="BD5" s="607" t="s">
        <v>4</v>
      </c>
      <c r="BE5" s="605" t="s">
        <v>9</v>
      </c>
      <c r="BF5" s="606" t="s">
        <v>10</v>
      </c>
      <c r="BG5" s="607" t="s">
        <v>4</v>
      </c>
      <c r="BH5" s="605" t="s">
        <v>9</v>
      </c>
      <c r="BI5" s="606" t="s">
        <v>10</v>
      </c>
      <c r="BJ5" s="607" t="s">
        <v>4</v>
      </c>
      <c r="BK5" s="605" t="s">
        <v>9</v>
      </c>
      <c r="BL5" s="606" t="s">
        <v>10</v>
      </c>
      <c r="BM5" s="607" t="s">
        <v>4</v>
      </c>
      <c r="BN5" s="605" t="s">
        <v>9</v>
      </c>
      <c r="BO5" s="606" t="s">
        <v>10</v>
      </c>
      <c r="BP5" s="607" t="s">
        <v>4</v>
      </c>
      <c r="BQ5" s="605" t="s">
        <v>9</v>
      </c>
      <c r="BR5" s="606" t="s">
        <v>10</v>
      </c>
      <c r="BS5" s="607" t="s">
        <v>4</v>
      </c>
      <c r="BT5" s="605" t="s">
        <v>9</v>
      </c>
      <c r="BU5" s="606" t="s">
        <v>10</v>
      </c>
      <c r="BV5" s="607" t="s">
        <v>4</v>
      </c>
      <c r="BW5" s="605" t="s">
        <v>9</v>
      </c>
      <c r="BX5" s="606" t="s">
        <v>10</v>
      </c>
      <c r="BY5" s="607" t="s">
        <v>4</v>
      </c>
      <c r="BZ5" s="605" t="s">
        <v>9</v>
      </c>
      <c r="CA5" s="606" t="s">
        <v>10</v>
      </c>
    </row>
    <row r="6" spans="1:84" s="603" customFormat="1" ht="18.75" customHeight="1" thickBot="1" x14ac:dyDescent="0.25">
      <c r="A6" s="2188"/>
      <c r="B6" s="2189"/>
      <c r="C6" s="2191"/>
      <c r="D6" s="2066"/>
      <c r="E6" s="2193"/>
      <c r="F6" s="2193"/>
      <c r="G6" s="2067"/>
      <c r="H6" s="608" t="s">
        <v>30</v>
      </c>
      <c r="I6" s="609" t="s">
        <v>31</v>
      </c>
      <c r="J6" s="610" t="s">
        <v>32</v>
      </c>
      <c r="K6" s="611" t="s">
        <v>30</v>
      </c>
      <c r="L6" s="609" t="s">
        <v>31</v>
      </c>
      <c r="M6" s="610" t="s">
        <v>32</v>
      </c>
      <c r="N6" s="611" t="s">
        <v>30</v>
      </c>
      <c r="O6" s="609" t="s">
        <v>31</v>
      </c>
      <c r="P6" s="610" t="s">
        <v>32</v>
      </c>
      <c r="Q6" s="611" t="s">
        <v>30</v>
      </c>
      <c r="R6" s="609" t="s">
        <v>31</v>
      </c>
      <c r="S6" s="610" t="s">
        <v>32</v>
      </c>
      <c r="T6" s="611" t="s">
        <v>30</v>
      </c>
      <c r="U6" s="609" t="s">
        <v>31</v>
      </c>
      <c r="V6" s="610" t="s">
        <v>32</v>
      </c>
      <c r="W6" s="611" t="s">
        <v>30</v>
      </c>
      <c r="X6" s="609" t="s">
        <v>31</v>
      </c>
      <c r="Y6" s="610" t="s">
        <v>32</v>
      </c>
      <c r="Z6" s="611" t="s">
        <v>30</v>
      </c>
      <c r="AA6" s="609" t="s">
        <v>31</v>
      </c>
      <c r="AB6" s="610" t="s">
        <v>32</v>
      </c>
      <c r="AC6" s="611" t="s">
        <v>30</v>
      </c>
      <c r="AD6" s="609" t="s">
        <v>31</v>
      </c>
      <c r="AE6" s="610" t="s">
        <v>32</v>
      </c>
      <c r="AF6" s="611" t="s">
        <v>30</v>
      </c>
      <c r="AG6" s="609" t="s">
        <v>31</v>
      </c>
      <c r="AH6" s="610" t="s">
        <v>32</v>
      </c>
      <c r="AI6" s="611" t="s">
        <v>30</v>
      </c>
      <c r="AJ6" s="609" t="s">
        <v>31</v>
      </c>
      <c r="AK6" s="610" t="s">
        <v>32</v>
      </c>
      <c r="AL6" s="611" t="s">
        <v>30</v>
      </c>
      <c r="AM6" s="609" t="s">
        <v>31</v>
      </c>
      <c r="AN6" s="610" t="s">
        <v>32</v>
      </c>
      <c r="AO6" s="611" t="s">
        <v>30</v>
      </c>
      <c r="AP6" s="609" t="s">
        <v>31</v>
      </c>
      <c r="AQ6" s="610" t="s">
        <v>32</v>
      </c>
      <c r="AR6" s="611" t="s">
        <v>30</v>
      </c>
      <c r="AS6" s="609" t="s">
        <v>31</v>
      </c>
      <c r="AT6" s="610" t="s">
        <v>32</v>
      </c>
      <c r="AU6" s="611" t="s">
        <v>30</v>
      </c>
      <c r="AV6" s="609" t="s">
        <v>31</v>
      </c>
      <c r="AW6" s="610" t="s">
        <v>32</v>
      </c>
      <c r="AX6" s="611" t="s">
        <v>30</v>
      </c>
      <c r="AY6" s="609" t="s">
        <v>31</v>
      </c>
      <c r="AZ6" s="610" t="s">
        <v>32</v>
      </c>
      <c r="BA6" s="611" t="s">
        <v>30</v>
      </c>
      <c r="BB6" s="609" t="s">
        <v>31</v>
      </c>
      <c r="BC6" s="610" t="s">
        <v>32</v>
      </c>
      <c r="BD6" s="611" t="s">
        <v>30</v>
      </c>
      <c r="BE6" s="609" t="s">
        <v>31</v>
      </c>
      <c r="BF6" s="610" t="s">
        <v>32</v>
      </c>
      <c r="BG6" s="611" t="s">
        <v>30</v>
      </c>
      <c r="BH6" s="609" t="s">
        <v>31</v>
      </c>
      <c r="BI6" s="610" t="s">
        <v>32</v>
      </c>
      <c r="BJ6" s="611" t="s">
        <v>30</v>
      </c>
      <c r="BK6" s="609" t="s">
        <v>31</v>
      </c>
      <c r="BL6" s="610" t="s">
        <v>32</v>
      </c>
      <c r="BM6" s="611" t="s">
        <v>30</v>
      </c>
      <c r="BN6" s="609" t="s">
        <v>31</v>
      </c>
      <c r="BO6" s="610" t="s">
        <v>32</v>
      </c>
      <c r="BP6" s="611" t="s">
        <v>30</v>
      </c>
      <c r="BQ6" s="609" t="s">
        <v>31</v>
      </c>
      <c r="BR6" s="610" t="s">
        <v>32</v>
      </c>
      <c r="BS6" s="611" t="s">
        <v>30</v>
      </c>
      <c r="BT6" s="609" t="s">
        <v>31</v>
      </c>
      <c r="BU6" s="610" t="s">
        <v>32</v>
      </c>
      <c r="BV6" s="611" t="s">
        <v>30</v>
      </c>
      <c r="BW6" s="609" t="s">
        <v>31</v>
      </c>
      <c r="BX6" s="610" t="s">
        <v>32</v>
      </c>
      <c r="BY6" s="611" t="s">
        <v>30</v>
      </c>
      <c r="BZ6" s="609" t="s">
        <v>31</v>
      </c>
      <c r="CA6" s="610" t="s">
        <v>32</v>
      </c>
    </row>
    <row r="7" spans="1:84" s="616" customFormat="1" ht="18.75" customHeight="1" thickBot="1" x14ac:dyDescent="0.25">
      <c r="A7" s="2055" t="s">
        <v>199</v>
      </c>
      <c r="B7" s="2056"/>
      <c r="C7" s="2061">
        <v>2.5</v>
      </c>
      <c r="D7" s="2064" t="s">
        <v>13</v>
      </c>
      <c r="E7" s="2065"/>
      <c r="F7" s="2194" t="s">
        <v>81</v>
      </c>
      <c r="G7" s="2195"/>
      <c r="H7" s="612">
        <f>ROUND(SQRT(I7^2+J7^2)*1000/(SQRT(3)*I10),2)</f>
        <v>0</v>
      </c>
      <c r="I7" s="613"/>
      <c r="J7" s="613"/>
      <c r="K7" s="612">
        <f>ROUND(SQRT(L7^2+M7^2)*1000/(SQRT(3)*L10),2)</f>
        <v>0</v>
      </c>
      <c r="L7" s="613"/>
      <c r="M7" s="614"/>
      <c r="N7" s="612">
        <f>ROUND(SQRT(O7^2+P7^2)*1000/(SQRT(3)*O10),2)</f>
        <v>0</v>
      </c>
      <c r="O7" s="613"/>
      <c r="P7" s="614"/>
      <c r="Q7" s="612">
        <f>ROUND(SQRT(R7^2+S7^2)*1000/(SQRT(3)*R10),2)</f>
        <v>0</v>
      </c>
      <c r="R7" s="613"/>
      <c r="S7" s="614"/>
      <c r="T7" s="612">
        <f>ROUND(SQRT(U7^2+V7^2)*1000/(SQRT(3)*U10),2)</f>
        <v>0</v>
      </c>
      <c r="U7" s="613"/>
      <c r="V7" s="614"/>
      <c r="W7" s="612">
        <f>ROUND(SQRT(X7^2+Y7^2)*1000/(SQRT(3)*X10),2)</f>
        <v>0</v>
      </c>
      <c r="X7" s="613"/>
      <c r="Y7" s="614"/>
      <c r="Z7" s="612">
        <f>ROUND(SQRT(AA7^2+AB7^2)*1000/(SQRT(3)*AA10),2)</f>
        <v>0</v>
      </c>
      <c r="AA7" s="613"/>
      <c r="AB7" s="614"/>
      <c r="AC7" s="612">
        <f>ROUND(SQRT(AD7^2+AE7^2)*1000/(SQRT(3)*AD10),2)</f>
        <v>0</v>
      </c>
      <c r="AD7" s="613"/>
      <c r="AE7" s="614"/>
      <c r="AF7" s="612">
        <f>ROUND(SQRT(AG7^2+AH7^2)*1000/(SQRT(3)*AG10),2)</f>
        <v>0</v>
      </c>
      <c r="AG7" s="613"/>
      <c r="AH7" s="614"/>
      <c r="AI7" s="612">
        <f>ROUND(SQRT(AJ7^2+AK7^2)*1000/(SQRT(3)*AJ10),2)</f>
        <v>0</v>
      </c>
      <c r="AJ7" s="613"/>
      <c r="AK7" s="614"/>
      <c r="AL7" s="612">
        <f>ROUND(SQRT(AM7^2+AN7^2)*1000/(SQRT(3)*AM10),2)</f>
        <v>0</v>
      </c>
      <c r="AM7" s="613"/>
      <c r="AN7" s="614"/>
      <c r="AO7" s="612">
        <f>ROUND(SQRT(AP7^2+AQ7^2)*1000/(SQRT(3)*AP10),2)</f>
        <v>0</v>
      </c>
      <c r="AP7" s="613"/>
      <c r="AQ7" s="614"/>
      <c r="AR7" s="612">
        <f>ROUND(SQRT(AS7^2+AT7^2)*1000/(SQRT(3)*AS10),2)</f>
        <v>0</v>
      </c>
      <c r="AS7" s="613"/>
      <c r="AT7" s="614"/>
      <c r="AU7" s="612">
        <f>ROUND(SQRT(AV7^2+AW7^2)*1000/(SQRT(3)*AV10),2)</f>
        <v>0</v>
      </c>
      <c r="AV7" s="613"/>
      <c r="AW7" s="614"/>
      <c r="AX7" s="612">
        <f>ROUND(SQRT(AY7^2+AZ7^2)*1000/(SQRT(3)*AY10),2)</f>
        <v>0</v>
      </c>
      <c r="AY7" s="613"/>
      <c r="AZ7" s="614"/>
      <c r="BA7" s="612">
        <f>ROUND(SQRT(BB7^2+BC7^2)*1000/(SQRT(3)*BB10),2)</f>
        <v>0</v>
      </c>
      <c r="BB7" s="613"/>
      <c r="BC7" s="614"/>
      <c r="BD7" s="612">
        <f>ROUND(SQRT(BE7^2+BF7^2)*1000/(SQRT(3)*BE10),2)</f>
        <v>0</v>
      </c>
      <c r="BE7" s="613"/>
      <c r="BF7" s="614"/>
      <c r="BG7" s="612">
        <f>ROUND(SQRT(BH7^2+BI7^2)*1000/(SQRT(3)*BH10),2)</f>
        <v>0</v>
      </c>
      <c r="BH7" s="613"/>
      <c r="BI7" s="614"/>
      <c r="BJ7" s="612">
        <f>ROUND(SQRT(BK7^2+BL7^2)*1000/(SQRT(3)*BK10),2)</f>
        <v>0</v>
      </c>
      <c r="BK7" s="613"/>
      <c r="BL7" s="614"/>
      <c r="BM7" s="612">
        <f>ROUND(SQRT(BN7^2+BO7^2)*1000/(SQRT(3)*BN10),2)</f>
        <v>0</v>
      </c>
      <c r="BN7" s="613"/>
      <c r="BO7" s="614"/>
      <c r="BP7" s="612">
        <f>ROUND(SQRT(BQ7^2+BR7^2)*1000/(SQRT(3)*BQ10),2)</f>
        <v>0</v>
      </c>
      <c r="BQ7" s="613"/>
      <c r="BR7" s="614"/>
      <c r="BS7" s="612">
        <f>ROUND(SQRT(BT7^2+BU7^2)*1000/(SQRT(3)*BT10),2)</f>
        <v>0</v>
      </c>
      <c r="BT7" s="613"/>
      <c r="BU7" s="614"/>
      <c r="BV7" s="612">
        <f>ROUND(SQRT(BW7^2+BX7^2)*1000/(SQRT(3)*BW10),2)</f>
        <v>0</v>
      </c>
      <c r="BW7" s="613"/>
      <c r="BX7" s="614"/>
      <c r="BY7" s="612">
        <f>ROUND(SQRT(BZ7^2+CA7^2)*1000/(SQRT(3)*BZ10),2)</f>
        <v>0</v>
      </c>
      <c r="BZ7" s="613"/>
      <c r="CA7" s="614"/>
      <c r="CB7" s="615"/>
      <c r="CC7" s="615"/>
      <c r="CE7" s="615"/>
      <c r="CF7" s="615"/>
    </row>
    <row r="8" spans="1:84" s="616" customFormat="1" ht="18.75" customHeight="1" thickBot="1" x14ac:dyDescent="0.25">
      <c r="A8" s="2057"/>
      <c r="B8" s="2058"/>
      <c r="C8" s="2062"/>
      <c r="D8" s="2066"/>
      <c r="E8" s="2067"/>
      <c r="F8" s="2196" t="s">
        <v>200</v>
      </c>
      <c r="G8" s="2197"/>
      <c r="H8" s="617">
        <f>ROUND(SQRT(I8^2+J8^2)*1000/(SQRT(3)*I11),2)</f>
        <v>3.29</v>
      </c>
      <c r="I8" s="613">
        <f>I20+I12</f>
        <v>3.2591999999999996E-2</v>
      </c>
      <c r="J8" s="614">
        <f>J20+J12</f>
        <v>1.5096E-2</v>
      </c>
      <c r="K8" s="617">
        <f>ROUND(SQRT(L8^2+M8^2)*1000/(SQRT(3)*L11),2)</f>
        <v>3.26</v>
      </c>
      <c r="L8" s="613">
        <f>L20+L12</f>
        <v>3.2120000000000003E-2</v>
      </c>
      <c r="M8" s="614">
        <f>M20+M12</f>
        <v>1.5344E-2</v>
      </c>
      <c r="N8" s="617">
        <f>ROUND(SQRT(O8^2+P8^2)*1000/(SQRT(3)*O11),2)</f>
        <v>3.27</v>
      </c>
      <c r="O8" s="613">
        <f>O20+O12</f>
        <v>3.236E-2</v>
      </c>
      <c r="P8" s="614">
        <f>P20+P12</f>
        <v>1.5112E-2</v>
      </c>
      <c r="Q8" s="617">
        <f>ROUND(SQRT(R8^2+S8^2)*1000/(SQRT(3)*R11),2)</f>
        <v>3.25</v>
      </c>
      <c r="R8" s="613">
        <f>R20+R12</f>
        <v>3.2112000000000002E-2</v>
      </c>
      <c r="S8" s="614">
        <f>S20+S12</f>
        <v>1.5103999999999999E-2</v>
      </c>
      <c r="T8" s="617">
        <f>ROUND(SQRT(U8^2+V8^2)*1000/(SQRT(3)*U11),2)</f>
        <v>3.23</v>
      </c>
      <c r="U8" s="613">
        <f>U20+U12</f>
        <v>3.1880000000000006E-2</v>
      </c>
      <c r="V8" s="614">
        <f>V20+V12</f>
        <v>1.5103999999999999E-2</v>
      </c>
      <c r="W8" s="617">
        <f>ROUND(SQRT(X8^2+Y8^2)*1000/(SQRT(3)*X11),2)</f>
        <v>3.3</v>
      </c>
      <c r="X8" s="613">
        <f>X20+X12</f>
        <v>3.2832E-2</v>
      </c>
      <c r="Y8" s="614">
        <f>Y20+Y12</f>
        <v>1.4863999999999999E-2</v>
      </c>
      <c r="Z8" s="617">
        <f>ROUND(SQRT(AA8^2+AB8^2)*1000/(SQRT(3)*AA11),2)</f>
        <v>3.37</v>
      </c>
      <c r="AA8" s="613">
        <f>AA20+AA12</f>
        <v>3.356E-2</v>
      </c>
      <c r="AB8" s="614">
        <f>AB20+AB12</f>
        <v>1.5103999999999999E-2</v>
      </c>
      <c r="AC8" s="617">
        <f>ROUND(SQRT(AD8^2+AE8^2)*1000/(SQRT(3)*AD11),2)</f>
        <v>3.28</v>
      </c>
      <c r="AD8" s="613">
        <f>AD20+AD12</f>
        <v>3.2591999999999996E-2</v>
      </c>
      <c r="AE8" s="614">
        <f>AE20+AE12</f>
        <v>1.4863999999999999E-2</v>
      </c>
      <c r="AF8" s="617">
        <f>ROUND(SQRT(AG8^2+AH8^2)*1000/(SQRT(3)*AG11),2)</f>
        <v>3.53</v>
      </c>
      <c r="AG8" s="613">
        <f>AG20+AG12</f>
        <v>3.5480000000000005E-2</v>
      </c>
      <c r="AH8" s="614">
        <f>AH20+AH12</f>
        <v>1.4863999999999999E-2</v>
      </c>
      <c r="AI8" s="617">
        <f>ROUND(SQRT(AJ8^2+AK8^2)*1000/(SQRT(3)*AJ11),2)</f>
        <v>3.54</v>
      </c>
      <c r="AJ8" s="613">
        <f>AJ20+AJ12</f>
        <v>3.5712000000000001E-2</v>
      </c>
      <c r="AK8" s="614">
        <f>AK20+AK12</f>
        <v>1.4624000000000002E-2</v>
      </c>
      <c r="AL8" s="617">
        <f>ROUND(SQRT(AM8^2+AN8^2)*1000/(SQRT(3)*AM11),2)</f>
        <v>3.52</v>
      </c>
      <c r="AM8" s="613">
        <f>AM20+AM12</f>
        <v>3.5471999999999997E-2</v>
      </c>
      <c r="AN8" s="614">
        <f>AN20+AN12</f>
        <v>1.4624000000000002E-2</v>
      </c>
      <c r="AO8" s="617">
        <f>ROUND(SQRT(AP8^2+AQ8^2)*1000/(SQRT(3)*AP11),2)</f>
        <v>3.26</v>
      </c>
      <c r="AP8" s="613">
        <f>AP20+AP12</f>
        <v>3.2591999999999996E-2</v>
      </c>
      <c r="AQ8" s="614">
        <f>AQ20+AQ12</f>
        <v>1.4376E-2</v>
      </c>
      <c r="AR8" s="617">
        <f>ROUND(SQRT(AS8^2+AT8^2)*1000/(SQRT(3)*AS11),2)</f>
        <v>3.38</v>
      </c>
      <c r="AS8" s="613">
        <f>AS20+AS12</f>
        <v>3.3791999999999996E-2</v>
      </c>
      <c r="AT8" s="614">
        <f>AT20+AT12</f>
        <v>1.4855999999999999E-2</v>
      </c>
      <c r="AU8" s="617">
        <f>ROUND(SQRT(AV8^2+AW8^2)*1000/(SQRT(3)*AV11),2)</f>
        <v>3.47</v>
      </c>
      <c r="AV8" s="613">
        <f>AV20+AV12</f>
        <v>3.4759999999999999E-2</v>
      </c>
      <c r="AW8" s="614">
        <f>AW20+AW12</f>
        <v>1.5103999999999999E-2</v>
      </c>
      <c r="AX8" s="617">
        <f>ROUND(SQRT(AY8^2+AZ8^2)*1000/(SQRT(3)*AY11),2)</f>
        <v>3.44</v>
      </c>
      <c r="AY8" s="613">
        <f>AY20+AY12</f>
        <v>3.4519999999999995E-2</v>
      </c>
      <c r="AZ8" s="614">
        <f>AZ20+AZ12</f>
        <v>1.4624000000000002E-2</v>
      </c>
      <c r="BA8" s="617">
        <f>ROUND(SQRT(BB8^2+BC8^2)*1000/(SQRT(3)*BB11),2)</f>
        <v>3.09</v>
      </c>
      <c r="BB8" s="613">
        <f>BB20+BB12</f>
        <v>3.0431999999999997E-2</v>
      </c>
      <c r="BC8" s="614">
        <f>BC20+BC12</f>
        <v>1.4624000000000002E-2</v>
      </c>
      <c r="BD8" s="617">
        <f>ROUND(SQRT(BE8^2+BF8^2)*1000/(SQRT(3)*BE11),2)</f>
        <v>3.27</v>
      </c>
      <c r="BE8" s="613">
        <f>BE20+BE12</f>
        <v>3.2599999999999997E-2</v>
      </c>
      <c r="BF8" s="614">
        <f>BF20+BF12</f>
        <v>1.4632000000000001E-2</v>
      </c>
      <c r="BG8" s="617">
        <f>ROUND(SQRT(BH8^2+BI8^2)*1000/(SQRT(3)*BH11),2)</f>
        <v>3.41</v>
      </c>
      <c r="BH8" s="613">
        <f>BH20+BH12</f>
        <v>3.4032E-2</v>
      </c>
      <c r="BI8" s="614">
        <f>BI20+BI12</f>
        <v>1.5103999999999999E-2</v>
      </c>
      <c r="BJ8" s="617">
        <f>ROUND(SQRT(BK8^2+BL8^2)*1000/(SQRT(3)*BK11),2)</f>
        <v>3.25</v>
      </c>
      <c r="BK8" s="613">
        <f>BK20+BK12</f>
        <v>3.2120000000000003E-2</v>
      </c>
      <c r="BL8" s="614">
        <f>BL20+BL12</f>
        <v>1.5103999999999999E-2</v>
      </c>
      <c r="BM8" s="617">
        <f>ROUND(SQRT(BN8^2+BO8^2)*1000/(SQRT(3)*BN11),2)</f>
        <v>3.23</v>
      </c>
      <c r="BN8" s="613">
        <f>BN20+BN12</f>
        <v>3.1880000000000006E-2</v>
      </c>
      <c r="BO8" s="614">
        <f>BO20+BO12</f>
        <v>1.5103999999999999E-2</v>
      </c>
      <c r="BP8" s="617">
        <f>ROUND(SQRT(BQ8^2+BR8^2)*1000/(SQRT(3)*BQ11),2)</f>
        <v>3.23</v>
      </c>
      <c r="BQ8" s="613">
        <f>BQ20+BQ12</f>
        <v>3.1879999999999999E-2</v>
      </c>
      <c r="BR8" s="614">
        <f>BR20+BR12</f>
        <v>1.5112E-2</v>
      </c>
      <c r="BS8" s="617">
        <f>ROUND(SQRT(BT8^2+BU8^2)*1000/(SQRT(3)*BT11),2)</f>
        <v>3.22</v>
      </c>
      <c r="BT8" s="613">
        <f>BT20+BT12</f>
        <v>3.1880000000000006E-2</v>
      </c>
      <c r="BU8" s="614">
        <f>BU20+BU12</f>
        <v>1.4863999999999999E-2</v>
      </c>
      <c r="BV8" s="617">
        <f>ROUND(SQRT(BW8^2+BX8^2)*1000/(SQRT(3)*BW11),2)</f>
        <v>3.14</v>
      </c>
      <c r="BW8" s="613">
        <f>BW20+BW12</f>
        <v>3.0920000000000003E-2</v>
      </c>
      <c r="BX8" s="614">
        <f>BX20+BX12</f>
        <v>1.4863999999999999E-2</v>
      </c>
      <c r="BY8" s="617">
        <f>ROUND(SQRT(BZ8^2+CA8^2)*1000/(SQRT(3)*BZ11),2)</f>
        <v>3.16</v>
      </c>
      <c r="BZ8" s="613">
        <f>BZ20+BZ12</f>
        <v>3.116E-2</v>
      </c>
      <c r="CA8" s="614">
        <f>CA20+CA12</f>
        <v>1.4863999999999999E-2</v>
      </c>
      <c r="CB8" s="618">
        <f>SUM(BZ8,BW8,BT8,BQ8,BN8,BK8,BH8,BE8,BB8,AY8,AV8,AS8,AP8,AM8,AJ8,AG8,AD8,AA8,X8,U8,R8,O8,L8,I8)</f>
        <v>0.78928000000000009</v>
      </c>
      <c r="CC8" s="618">
        <f>SUM(CA8,BX8,BU8,BR8,BO8,BL8,BI8,BF8,BC8,AZ8,AW8,AT8,AQ8,AN8,AK8,AH8,AE8,AB8,Y8,V8,S8,P8,M8,J8)</f>
        <v>0.35793600000000003</v>
      </c>
      <c r="CE8" s="615"/>
      <c r="CF8" s="615"/>
    </row>
    <row r="9" spans="1:84" s="230" customFormat="1" ht="21.75" customHeight="1" thickBot="1" x14ac:dyDescent="0.3">
      <c r="A9" s="2057"/>
      <c r="B9" s="2058"/>
      <c r="C9" s="2062"/>
      <c r="D9" s="2072" t="s">
        <v>39</v>
      </c>
      <c r="E9" s="2073"/>
      <c r="F9" s="2073"/>
      <c r="G9" s="2074"/>
      <c r="H9" s="619"/>
      <c r="I9" s="620">
        <v>7</v>
      </c>
      <c r="J9" s="621"/>
      <c r="K9" s="619"/>
      <c r="L9" s="620">
        <v>7</v>
      </c>
      <c r="M9" s="621"/>
      <c r="N9" s="619"/>
      <c r="O9" s="620">
        <v>7</v>
      </c>
      <c r="P9" s="621"/>
      <c r="Q9" s="619"/>
      <c r="R9" s="620">
        <v>7</v>
      </c>
      <c r="S9" s="621"/>
      <c r="T9" s="619"/>
      <c r="U9" s="620">
        <v>7</v>
      </c>
      <c r="V9" s="621"/>
      <c r="W9" s="619"/>
      <c r="X9" s="620">
        <v>7</v>
      </c>
      <c r="Y9" s="621"/>
      <c r="Z9" s="619"/>
      <c r="AA9" s="620">
        <v>7</v>
      </c>
      <c r="AB9" s="621"/>
      <c r="AC9" s="619"/>
      <c r="AD9" s="620">
        <v>7</v>
      </c>
      <c r="AE9" s="621"/>
      <c r="AF9" s="619"/>
      <c r="AG9" s="620">
        <v>7</v>
      </c>
      <c r="AH9" s="621"/>
      <c r="AI9" s="619"/>
      <c r="AJ9" s="620">
        <v>7</v>
      </c>
      <c r="AK9" s="621"/>
      <c r="AL9" s="619"/>
      <c r="AM9" s="620">
        <v>7</v>
      </c>
      <c r="AN9" s="621"/>
      <c r="AO9" s="619"/>
      <c r="AP9" s="620">
        <v>7</v>
      </c>
      <c r="AQ9" s="621"/>
      <c r="AR9" s="619"/>
      <c r="AS9" s="620">
        <v>7</v>
      </c>
      <c r="AT9" s="621"/>
      <c r="AU9" s="619"/>
      <c r="AV9" s="620">
        <v>7</v>
      </c>
      <c r="AW9" s="621"/>
      <c r="AX9" s="619"/>
      <c r="AY9" s="620">
        <v>7</v>
      </c>
      <c r="AZ9" s="621"/>
      <c r="BA9" s="619"/>
      <c r="BB9" s="620">
        <v>7</v>
      </c>
      <c r="BC9" s="621"/>
      <c r="BD9" s="619"/>
      <c r="BE9" s="620">
        <v>7</v>
      </c>
      <c r="BF9" s="621"/>
      <c r="BG9" s="619"/>
      <c r="BH9" s="620">
        <v>7</v>
      </c>
      <c r="BI9" s="621"/>
      <c r="BJ9" s="619"/>
      <c r="BK9" s="620">
        <v>7</v>
      </c>
      <c r="BL9" s="621"/>
      <c r="BM9" s="619"/>
      <c r="BN9" s="620">
        <v>7</v>
      </c>
      <c r="BO9" s="621"/>
      <c r="BP9" s="619"/>
      <c r="BQ9" s="620">
        <v>7</v>
      </c>
      <c r="BR9" s="621"/>
      <c r="BS9" s="619"/>
      <c r="BT9" s="620">
        <v>7</v>
      </c>
      <c r="BU9" s="621"/>
      <c r="BV9" s="619"/>
      <c r="BW9" s="620">
        <v>7</v>
      </c>
      <c r="BX9" s="621"/>
      <c r="BY9" s="619"/>
      <c r="BZ9" s="620">
        <v>7</v>
      </c>
      <c r="CA9" s="621"/>
    </row>
    <row r="10" spans="1:84" s="626" customFormat="1" ht="20.25" customHeight="1" x14ac:dyDescent="0.25">
      <c r="A10" s="2057"/>
      <c r="B10" s="2058"/>
      <c r="C10" s="2062"/>
      <c r="D10" s="2198" t="s">
        <v>14</v>
      </c>
      <c r="E10" s="2199"/>
      <c r="F10" s="2202" t="s">
        <v>81</v>
      </c>
      <c r="G10" s="2203"/>
      <c r="H10" s="622"/>
      <c r="I10" s="623">
        <v>115</v>
      </c>
      <c r="J10" s="624"/>
      <c r="K10" s="625"/>
      <c r="L10" s="623">
        <v>115</v>
      </c>
      <c r="M10" s="624"/>
      <c r="N10" s="625"/>
      <c r="O10" s="623">
        <v>115</v>
      </c>
      <c r="P10" s="624"/>
      <c r="Q10" s="625"/>
      <c r="R10" s="623">
        <v>115</v>
      </c>
      <c r="S10" s="624"/>
      <c r="T10" s="625"/>
      <c r="U10" s="623">
        <v>115</v>
      </c>
      <c r="V10" s="624"/>
      <c r="W10" s="625"/>
      <c r="X10" s="623">
        <v>115</v>
      </c>
      <c r="Y10" s="624"/>
      <c r="Z10" s="625"/>
      <c r="AA10" s="623">
        <v>115</v>
      </c>
      <c r="AB10" s="624"/>
      <c r="AC10" s="625"/>
      <c r="AD10" s="623">
        <v>115</v>
      </c>
      <c r="AE10" s="624"/>
      <c r="AF10" s="625"/>
      <c r="AG10" s="623">
        <v>115</v>
      </c>
      <c r="AH10" s="624"/>
      <c r="AI10" s="625"/>
      <c r="AJ10" s="623">
        <v>115</v>
      </c>
      <c r="AK10" s="624"/>
      <c r="AL10" s="625"/>
      <c r="AM10" s="623">
        <v>115</v>
      </c>
      <c r="AN10" s="624"/>
      <c r="AO10" s="625"/>
      <c r="AP10" s="623">
        <v>115</v>
      </c>
      <c r="AQ10" s="624"/>
      <c r="AR10" s="625"/>
      <c r="AS10" s="623">
        <v>115</v>
      </c>
      <c r="AT10" s="624"/>
      <c r="AU10" s="625"/>
      <c r="AV10" s="623">
        <v>115</v>
      </c>
      <c r="AW10" s="624"/>
      <c r="AX10" s="625"/>
      <c r="AY10" s="623">
        <v>115</v>
      </c>
      <c r="AZ10" s="624"/>
      <c r="BA10" s="625"/>
      <c r="BB10" s="623">
        <v>115</v>
      </c>
      <c r="BC10" s="624"/>
      <c r="BD10" s="625"/>
      <c r="BE10" s="623">
        <v>115</v>
      </c>
      <c r="BF10" s="624"/>
      <c r="BG10" s="625"/>
      <c r="BH10" s="623">
        <v>115</v>
      </c>
      <c r="BI10" s="624"/>
      <c r="BJ10" s="625"/>
      <c r="BK10" s="623">
        <v>115</v>
      </c>
      <c r="BL10" s="624"/>
      <c r="BM10" s="625"/>
      <c r="BN10" s="623">
        <v>115</v>
      </c>
      <c r="BO10" s="624"/>
      <c r="BP10" s="625"/>
      <c r="BQ10" s="623">
        <v>115</v>
      </c>
      <c r="BR10" s="624"/>
      <c r="BS10" s="625"/>
      <c r="BT10" s="623">
        <v>115</v>
      </c>
      <c r="BU10" s="624"/>
      <c r="BV10" s="625"/>
      <c r="BW10" s="623">
        <v>115</v>
      </c>
      <c r="BX10" s="624"/>
      <c r="BY10" s="625"/>
      <c r="BZ10" s="623">
        <v>115</v>
      </c>
      <c r="CA10" s="624"/>
    </row>
    <row r="11" spans="1:84" s="626" customFormat="1" ht="20.25" customHeight="1" thickBot="1" x14ac:dyDescent="0.3">
      <c r="A11" s="2057"/>
      <c r="B11" s="2058"/>
      <c r="C11" s="2062"/>
      <c r="D11" s="2200"/>
      <c r="E11" s="2201"/>
      <c r="F11" s="2204" t="s">
        <v>200</v>
      </c>
      <c r="G11" s="2205"/>
      <c r="H11" s="627"/>
      <c r="I11" s="628">
        <v>6.3</v>
      </c>
      <c r="J11" s="629"/>
      <c r="K11" s="630"/>
      <c r="L11" s="628">
        <v>6.3</v>
      </c>
      <c r="M11" s="629"/>
      <c r="N11" s="630"/>
      <c r="O11" s="628">
        <v>6.3</v>
      </c>
      <c r="P11" s="629"/>
      <c r="Q11" s="630"/>
      <c r="R11" s="628">
        <v>6.3</v>
      </c>
      <c r="S11" s="629"/>
      <c r="T11" s="630"/>
      <c r="U11" s="628">
        <v>6.3</v>
      </c>
      <c r="V11" s="629"/>
      <c r="W11" s="630"/>
      <c r="X11" s="628">
        <v>6.3</v>
      </c>
      <c r="Y11" s="629"/>
      <c r="Z11" s="630"/>
      <c r="AA11" s="628">
        <v>6.3</v>
      </c>
      <c r="AB11" s="629"/>
      <c r="AC11" s="630"/>
      <c r="AD11" s="628">
        <v>6.3</v>
      </c>
      <c r="AE11" s="629"/>
      <c r="AF11" s="630"/>
      <c r="AG11" s="628">
        <v>6.3</v>
      </c>
      <c r="AH11" s="629"/>
      <c r="AI11" s="630"/>
      <c r="AJ11" s="628">
        <v>6.3</v>
      </c>
      <c r="AK11" s="629"/>
      <c r="AL11" s="630"/>
      <c r="AM11" s="628">
        <v>6.3</v>
      </c>
      <c r="AN11" s="629"/>
      <c r="AO11" s="630"/>
      <c r="AP11" s="628">
        <v>6.3</v>
      </c>
      <c r="AQ11" s="629"/>
      <c r="AR11" s="630"/>
      <c r="AS11" s="628">
        <v>6.3</v>
      </c>
      <c r="AT11" s="629"/>
      <c r="AU11" s="630"/>
      <c r="AV11" s="628">
        <v>6.3</v>
      </c>
      <c r="AW11" s="629"/>
      <c r="AX11" s="630"/>
      <c r="AY11" s="628">
        <v>6.3</v>
      </c>
      <c r="AZ11" s="629"/>
      <c r="BA11" s="630"/>
      <c r="BB11" s="628">
        <v>6.3</v>
      </c>
      <c r="BC11" s="629"/>
      <c r="BD11" s="630"/>
      <c r="BE11" s="628">
        <v>6.3</v>
      </c>
      <c r="BF11" s="629"/>
      <c r="BG11" s="630"/>
      <c r="BH11" s="628">
        <v>6.3</v>
      </c>
      <c r="BI11" s="629"/>
      <c r="BJ11" s="630"/>
      <c r="BK11" s="628">
        <v>6.3</v>
      </c>
      <c r="BL11" s="629"/>
      <c r="BM11" s="630"/>
      <c r="BN11" s="628">
        <v>6.3</v>
      </c>
      <c r="BO11" s="629"/>
      <c r="BP11" s="630"/>
      <c r="BQ11" s="628">
        <v>6.3</v>
      </c>
      <c r="BR11" s="629"/>
      <c r="BS11" s="630"/>
      <c r="BT11" s="628">
        <v>6.3</v>
      </c>
      <c r="BU11" s="629"/>
      <c r="BV11" s="630"/>
      <c r="BW11" s="628">
        <v>6.3</v>
      </c>
      <c r="BX11" s="629"/>
      <c r="BY11" s="630"/>
      <c r="BZ11" s="628">
        <v>6.3</v>
      </c>
      <c r="CA11" s="629"/>
    </row>
    <row r="12" spans="1:84" s="616" customFormat="1" ht="20.25" customHeight="1" thickBot="1" x14ac:dyDescent="0.25">
      <c r="A12" s="2206" t="s">
        <v>100</v>
      </c>
      <c r="B12" s="2207"/>
      <c r="C12" s="2210"/>
      <c r="D12" s="631" t="s">
        <v>13</v>
      </c>
      <c r="E12" s="632"/>
      <c r="F12" s="633"/>
      <c r="G12" s="634"/>
      <c r="H12" s="635">
        <f>ROUND(SQRT(I12^2+J12^2)*1000/(SQRT(3)*I13),2)</f>
        <v>3.46</v>
      </c>
      <c r="I12" s="613">
        <v>2.3519999999999999E-3</v>
      </c>
      <c r="J12" s="614">
        <f>-1*-0.000456</f>
        <v>4.5600000000000003E-4</v>
      </c>
      <c r="K12" s="635">
        <f>ROUND(SQRT(L12^2+M12^2)*1000/(SQRT(3)*L13),2)</f>
        <v>3.47</v>
      </c>
      <c r="L12" s="613">
        <v>2.3599999999999997E-3</v>
      </c>
      <c r="M12" s="614">
        <f>-1*-0.000464</f>
        <v>4.64E-4</v>
      </c>
      <c r="N12" s="635">
        <f>ROUND(SQRT(O12^2+P12^2)*1000/(SQRT(3)*O13),2)</f>
        <v>3.47</v>
      </c>
      <c r="O12" s="613">
        <v>2.3599999999999997E-3</v>
      </c>
      <c r="P12" s="614">
        <f>-1*-0.000472</f>
        <v>4.7199999999999998E-4</v>
      </c>
      <c r="Q12" s="635">
        <f>ROUND(SQRT(R12^2+S12^2)*1000/(SQRT(3)*R13),2)</f>
        <v>3.46</v>
      </c>
      <c r="R12" s="613">
        <v>2.3519999999999999E-3</v>
      </c>
      <c r="S12" s="614">
        <f>-1*-0.000464</f>
        <v>4.64E-4</v>
      </c>
      <c r="T12" s="635">
        <f>ROUND(SQRT(U12^2+V12^2)*1000/(SQRT(3)*U13),2)</f>
        <v>3.47</v>
      </c>
      <c r="U12" s="613">
        <v>2.3599999999999997E-3</v>
      </c>
      <c r="V12" s="614">
        <f>-1*-0.000464</f>
        <v>4.64E-4</v>
      </c>
      <c r="W12" s="635">
        <f>ROUND(SQRT(X12^2+Y12^2)*1000/(SQRT(3)*X13),2)</f>
        <v>3.46</v>
      </c>
      <c r="X12" s="613">
        <v>2.3519999999999999E-3</v>
      </c>
      <c r="Y12" s="614">
        <f>-1*-0.000464</f>
        <v>4.64E-4</v>
      </c>
      <c r="Z12" s="635">
        <f>ROUND(SQRT(AA12^2+AB12^2)*1000/(SQRT(3)*AA13),2)</f>
        <v>3.47</v>
      </c>
      <c r="AA12" s="613">
        <v>2.3599999999999997E-3</v>
      </c>
      <c r="AB12" s="614">
        <f>-1*-0.000464</f>
        <v>4.64E-4</v>
      </c>
      <c r="AC12" s="635">
        <f>ROUND(SQRT(AD12^2+AE12^2)*1000/(SQRT(3)*AD13),2)</f>
        <v>3.46</v>
      </c>
      <c r="AD12" s="613">
        <v>2.3519999999999999E-3</v>
      </c>
      <c r="AE12" s="614">
        <f>-1*-0.000464</f>
        <v>4.64E-4</v>
      </c>
      <c r="AF12" s="635">
        <f>ROUND(SQRT(AG12^2+AH12^2)*1000/(SQRT(3)*AG13),2)</f>
        <v>3.47</v>
      </c>
      <c r="AG12" s="613">
        <v>2.3599999999999997E-3</v>
      </c>
      <c r="AH12" s="614">
        <f>-1*-0.000464</f>
        <v>4.64E-4</v>
      </c>
      <c r="AI12" s="635">
        <f>ROUND(SQRT(AJ12^2+AK12^2)*1000/(SQRT(3)*AJ13),2)</f>
        <v>3.46</v>
      </c>
      <c r="AJ12" s="613">
        <v>2.3519999999999999E-3</v>
      </c>
      <c r="AK12" s="614">
        <f>-1*-0.000464</f>
        <v>4.64E-4</v>
      </c>
      <c r="AL12" s="635">
        <f>ROUND(SQRT(AM12^2+AN12^2)*1000/(SQRT(3)*AM13),2)</f>
        <v>3.46</v>
      </c>
      <c r="AM12" s="613">
        <v>2.3519999999999999E-3</v>
      </c>
      <c r="AN12" s="614">
        <f>-1*-0.000464</f>
        <v>4.64E-4</v>
      </c>
      <c r="AO12" s="635">
        <f>ROUND(SQRT(AP12^2+AQ12^2)*1000/(SQRT(3)*AP13),2)</f>
        <v>3.46</v>
      </c>
      <c r="AP12" s="613">
        <v>2.3519999999999999E-3</v>
      </c>
      <c r="AQ12" s="614">
        <f>-1*-0.000456</f>
        <v>4.5600000000000003E-4</v>
      </c>
      <c r="AR12" s="635">
        <f>ROUND(SQRT(AS12^2+AT12^2)*1000/(SQRT(3)*AS13),2)</f>
        <v>3.46</v>
      </c>
      <c r="AS12" s="613">
        <v>2.3519999999999999E-3</v>
      </c>
      <c r="AT12" s="614">
        <f>-1*-0.000456</f>
        <v>4.5600000000000003E-4</v>
      </c>
      <c r="AU12" s="635">
        <f>ROUND(SQRT(AV12^2+AW12^2)*1000/(SQRT(3)*AV13),2)</f>
        <v>3.47</v>
      </c>
      <c r="AV12" s="613">
        <v>2.3599999999999997E-3</v>
      </c>
      <c r="AW12" s="614">
        <f>-1*-0.000464</f>
        <v>4.64E-4</v>
      </c>
      <c r="AX12" s="635">
        <f>ROUND(SQRT(AY12^2+AZ12^2)*1000/(SQRT(3)*AY13),2)</f>
        <v>3.47</v>
      </c>
      <c r="AY12" s="613">
        <v>2.3599999999999997E-3</v>
      </c>
      <c r="AZ12" s="614">
        <f>-1*-0.000464</f>
        <v>4.64E-4</v>
      </c>
      <c r="BA12" s="635">
        <f>ROUND(SQRT(BB12^2+BC12^2)*1000/(SQRT(3)*BB13),2)</f>
        <v>3.46</v>
      </c>
      <c r="BB12" s="613">
        <v>2.3519999999999999E-3</v>
      </c>
      <c r="BC12" s="614">
        <f>-1*-0.000464</f>
        <v>4.64E-4</v>
      </c>
      <c r="BD12" s="635">
        <f>ROUND(SQRT(BE12^2+BF12^2)*1000/(SQRT(3)*BE13),2)</f>
        <v>3.47</v>
      </c>
      <c r="BE12" s="613">
        <v>2.3599999999999997E-3</v>
      </c>
      <c r="BF12" s="614">
        <f>-1*-0.000472</f>
        <v>4.7199999999999998E-4</v>
      </c>
      <c r="BG12" s="635">
        <f>ROUND(SQRT(BH12^2+BI12^2)*1000/(SQRT(3)*BH13),2)</f>
        <v>3.46</v>
      </c>
      <c r="BH12" s="613">
        <v>2.3519999999999999E-3</v>
      </c>
      <c r="BI12" s="614">
        <f>-1*-0.000464</f>
        <v>4.64E-4</v>
      </c>
      <c r="BJ12" s="635">
        <f>ROUND(SQRT(BK12^2+BL12^2)*1000/(SQRT(3)*BK13),2)</f>
        <v>3.47</v>
      </c>
      <c r="BK12" s="613">
        <v>2.3599999999999997E-3</v>
      </c>
      <c r="BL12" s="614">
        <f>-1*-0.000464</f>
        <v>4.64E-4</v>
      </c>
      <c r="BM12" s="635">
        <f>ROUND(SQRT(BN12^2+BO12^2)*1000/(SQRT(3)*BN13),2)</f>
        <v>3.47</v>
      </c>
      <c r="BN12" s="613">
        <v>2.3599999999999997E-3</v>
      </c>
      <c r="BO12" s="614">
        <f>-1*-0.000464</f>
        <v>4.64E-4</v>
      </c>
      <c r="BP12" s="635">
        <f>ROUND(SQRT(BQ12^2+BR12^2)*1000/(SQRT(3)*BQ13),2)</f>
        <v>3.47</v>
      </c>
      <c r="BQ12" s="613">
        <v>2.3599999999999997E-3</v>
      </c>
      <c r="BR12" s="614">
        <f>-1*-0.000472</f>
        <v>4.7199999999999998E-4</v>
      </c>
      <c r="BS12" s="635">
        <f>ROUND(SQRT(BT12^2+BU12^2)*1000/(SQRT(3)*BT13),2)</f>
        <v>3.47</v>
      </c>
      <c r="BT12" s="613">
        <v>2.3599999999999997E-3</v>
      </c>
      <c r="BU12" s="614">
        <f>-1*-0.000464</f>
        <v>4.64E-4</v>
      </c>
      <c r="BV12" s="635">
        <f>ROUND(SQRT(BW12^2+BX12^2)*1000/(SQRT(3)*BW13),2)</f>
        <v>3.47</v>
      </c>
      <c r="BW12" s="613">
        <v>2.3599999999999997E-3</v>
      </c>
      <c r="BX12" s="614">
        <f>-1*-0.000464</f>
        <v>4.64E-4</v>
      </c>
      <c r="BY12" s="635">
        <f>ROUND(SQRT(BZ12^2+CA12^2)*1000/(SQRT(3)*BZ13),2)</f>
        <v>3.47</v>
      </c>
      <c r="BZ12" s="613">
        <v>2.3599999999999997E-3</v>
      </c>
      <c r="CA12" s="614">
        <f>-1*-0.000464</f>
        <v>4.64E-4</v>
      </c>
      <c r="CB12" s="618">
        <f>SUM(BZ12,BW12,BT12,BQ12,BN12,BK12,BH12,BE12,BB12,AY12,AV12,AS12,AP12,AM12,AJ12,AG12,AD12,AA12,X12,U12,R12,O12,L12,I12)</f>
        <v>5.6560000000000006E-2</v>
      </c>
      <c r="CC12" s="618">
        <f>SUM(CA12,BX12,BU12,BR12,BO12,BL12,BI12,BF12,BC12,AZ12,AW12,AT12,AQ12,AN12,AK12,AH12,AE12,AB12,Y12,V12,S12,P12,M12,J12)</f>
        <v>1.1135999999999995E-2</v>
      </c>
    </row>
    <row r="13" spans="1:84" s="616" customFormat="1" ht="20.25" customHeight="1" thickBot="1" x14ac:dyDescent="0.25">
      <c r="A13" s="2208"/>
      <c r="B13" s="2209"/>
      <c r="C13" s="2211"/>
      <c r="D13" s="636" t="s">
        <v>14</v>
      </c>
      <c r="E13" s="637"/>
      <c r="F13" s="521"/>
      <c r="G13" s="638"/>
      <c r="H13" s="639"/>
      <c r="I13" s="640">
        <v>0.4</v>
      </c>
      <c r="J13" s="641"/>
      <c r="K13" s="639"/>
      <c r="L13" s="640">
        <v>0.4</v>
      </c>
      <c r="M13" s="641"/>
      <c r="N13" s="639"/>
      <c r="O13" s="640">
        <v>0.4</v>
      </c>
      <c r="P13" s="641"/>
      <c r="Q13" s="639"/>
      <c r="R13" s="640">
        <v>0.4</v>
      </c>
      <c r="S13" s="641"/>
      <c r="T13" s="639"/>
      <c r="U13" s="640">
        <v>0.4</v>
      </c>
      <c r="V13" s="641"/>
      <c r="W13" s="639"/>
      <c r="X13" s="640">
        <v>0.4</v>
      </c>
      <c r="Y13" s="641"/>
      <c r="Z13" s="639"/>
      <c r="AA13" s="640">
        <v>0.4</v>
      </c>
      <c r="AB13" s="641"/>
      <c r="AC13" s="639"/>
      <c r="AD13" s="640">
        <v>0.4</v>
      </c>
      <c r="AE13" s="641"/>
      <c r="AF13" s="639"/>
      <c r="AG13" s="640">
        <v>0.4</v>
      </c>
      <c r="AH13" s="641"/>
      <c r="AI13" s="639"/>
      <c r="AJ13" s="640">
        <v>0.4</v>
      </c>
      <c r="AK13" s="641"/>
      <c r="AL13" s="639"/>
      <c r="AM13" s="640">
        <v>0.4</v>
      </c>
      <c r="AN13" s="641"/>
      <c r="AO13" s="639"/>
      <c r="AP13" s="640">
        <v>0.4</v>
      </c>
      <c r="AQ13" s="641"/>
      <c r="AR13" s="639"/>
      <c r="AS13" s="640">
        <v>0.4</v>
      </c>
      <c r="AT13" s="641"/>
      <c r="AU13" s="639"/>
      <c r="AV13" s="640">
        <v>0.4</v>
      </c>
      <c r="AW13" s="641"/>
      <c r="AX13" s="639"/>
      <c r="AY13" s="640">
        <v>0.4</v>
      </c>
      <c r="AZ13" s="641"/>
      <c r="BA13" s="639"/>
      <c r="BB13" s="640">
        <v>0.4</v>
      </c>
      <c r="BC13" s="641"/>
      <c r="BD13" s="639"/>
      <c r="BE13" s="640">
        <v>0.4</v>
      </c>
      <c r="BF13" s="641"/>
      <c r="BG13" s="639"/>
      <c r="BH13" s="640">
        <v>0.4</v>
      </c>
      <c r="BI13" s="641"/>
      <c r="BJ13" s="639"/>
      <c r="BK13" s="640">
        <v>0.4</v>
      </c>
      <c r="BL13" s="641"/>
      <c r="BM13" s="639"/>
      <c r="BN13" s="640">
        <v>0.4</v>
      </c>
      <c r="BO13" s="641"/>
      <c r="BP13" s="639"/>
      <c r="BQ13" s="640">
        <v>0.4</v>
      </c>
      <c r="BR13" s="641"/>
      <c r="BS13" s="639"/>
      <c r="BT13" s="640">
        <v>0.4</v>
      </c>
      <c r="BU13" s="641"/>
      <c r="BV13" s="639"/>
      <c r="BW13" s="640">
        <v>0.4</v>
      </c>
      <c r="BX13" s="641"/>
      <c r="BY13" s="639"/>
      <c r="BZ13" s="640">
        <v>0.4</v>
      </c>
      <c r="CA13" s="641"/>
    </row>
    <row r="14" spans="1:84" s="616" customFormat="1" ht="19.5" customHeight="1" x14ac:dyDescent="0.2">
      <c r="A14" s="2078" t="s">
        <v>86</v>
      </c>
      <c r="B14" s="2090"/>
      <c r="C14" s="2056"/>
      <c r="D14" s="642"/>
      <c r="E14" s="643"/>
      <c r="F14" s="2212" t="s">
        <v>81</v>
      </c>
      <c r="G14" s="2212"/>
      <c r="H14" s="644" t="s">
        <v>84</v>
      </c>
      <c r="I14" s="645" t="s">
        <v>84</v>
      </c>
      <c r="J14" s="646" t="s">
        <v>84</v>
      </c>
      <c r="K14" s="644" t="s">
        <v>84</v>
      </c>
      <c r="L14" s="645" t="s">
        <v>84</v>
      </c>
      <c r="M14" s="646" t="s">
        <v>84</v>
      </c>
      <c r="N14" s="644" t="s">
        <v>84</v>
      </c>
      <c r="O14" s="645" t="s">
        <v>84</v>
      </c>
      <c r="P14" s="646" t="s">
        <v>84</v>
      </c>
      <c r="Q14" s="644" t="s">
        <v>84</v>
      </c>
      <c r="R14" s="645" t="s">
        <v>84</v>
      </c>
      <c r="S14" s="646" t="s">
        <v>84</v>
      </c>
      <c r="T14" s="644" t="s">
        <v>84</v>
      </c>
      <c r="U14" s="645" t="s">
        <v>84</v>
      </c>
      <c r="V14" s="646" t="s">
        <v>84</v>
      </c>
      <c r="W14" s="644" t="s">
        <v>84</v>
      </c>
      <c r="X14" s="645" t="s">
        <v>84</v>
      </c>
      <c r="Y14" s="646" t="s">
        <v>84</v>
      </c>
      <c r="Z14" s="644" t="s">
        <v>84</v>
      </c>
      <c r="AA14" s="645" t="s">
        <v>84</v>
      </c>
      <c r="AB14" s="646" t="s">
        <v>84</v>
      </c>
      <c r="AC14" s="644" t="s">
        <v>84</v>
      </c>
      <c r="AD14" s="645" t="s">
        <v>84</v>
      </c>
      <c r="AE14" s="646" t="s">
        <v>84</v>
      </c>
      <c r="AF14" s="644" t="s">
        <v>84</v>
      </c>
      <c r="AG14" s="645" t="s">
        <v>84</v>
      </c>
      <c r="AH14" s="646" t="s">
        <v>84</v>
      </c>
      <c r="AI14" s="644" t="s">
        <v>84</v>
      </c>
      <c r="AJ14" s="645" t="s">
        <v>84</v>
      </c>
      <c r="AK14" s="646" t="s">
        <v>84</v>
      </c>
      <c r="AL14" s="644" t="s">
        <v>84</v>
      </c>
      <c r="AM14" s="645" t="s">
        <v>84</v>
      </c>
      <c r="AN14" s="646" t="s">
        <v>84</v>
      </c>
      <c r="AO14" s="644" t="s">
        <v>84</v>
      </c>
      <c r="AP14" s="645" t="s">
        <v>84</v>
      </c>
      <c r="AQ14" s="646" t="s">
        <v>84</v>
      </c>
      <c r="AR14" s="644" t="s">
        <v>84</v>
      </c>
      <c r="AS14" s="645" t="s">
        <v>84</v>
      </c>
      <c r="AT14" s="646" t="s">
        <v>84</v>
      </c>
      <c r="AU14" s="644" t="s">
        <v>84</v>
      </c>
      <c r="AV14" s="645" t="s">
        <v>84</v>
      </c>
      <c r="AW14" s="646" t="s">
        <v>84</v>
      </c>
      <c r="AX14" s="644" t="s">
        <v>84</v>
      </c>
      <c r="AY14" s="645" t="s">
        <v>84</v>
      </c>
      <c r="AZ14" s="646" t="s">
        <v>84</v>
      </c>
      <c r="BA14" s="644" t="s">
        <v>84</v>
      </c>
      <c r="BB14" s="645" t="s">
        <v>84</v>
      </c>
      <c r="BC14" s="646" t="s">
        <v>84</v>
      </c>
      <c r="BD14" s="644" t="s">
        <v>84</v>
      </c>
      <c r="BE14" s="645" t="s">
        <v>84</v>
      </c>
      <c r="BF14" s="646" t="s">
        <v>84</v>
      </c>
      <c r="BG14" s="644" t="s">
        <v>84</v>
      </c>
      <c r="BH14" s="645" t="s">
        <v>84</v>
      </c>
      <c r="BI14" s="646" t="s">
        <v>84</v>
      </c>
      <c r="BJ14" s="644" t="s">
        <v>84</v>
      </c>
      <c r="BK14" s="645" t="s">
        <v>84</v>
      </c>
      <c r="BL14" s="646" t="s">
        <v>84</v>
      </c>
      <c r="BM14" s="644" t="s">
        <v>84</v>
      </c>
      <c r="BN14" s="645" t="s">
        <v>84</v>
      </c>
      <c r="BO14" s="646" t="s">
        <v>84</v>
      </c>
      <c r="BP14" s="644" t="s">
        <v>84</v>
      </c>
      <c r="BQ14" s="645" t="s">
        <v>84</v>
      </c>
      <c r="BR14" s="646" t="s">
        <v>84</v>
      </c>
      <c r="BS14" s="644" t="s">
        <v>84</v>
      </c>
      <c r="BT14" s="645" t="s">
        <v>84</v>
      </c>
      <c r="BU14" s="646" t="s">
        <v>84</v>
      </c>
      <c r="BV14" s="644" t="s">
        <v>84</v>
      </c>
      <c r="BW14" s="645" t="s">
        <v>84</v>
      </c>
      <c r="BX14" s="646" t="s">
        <v>84</v>
      </c>
      <c r="BY14" s="644" t="s">
        <v>84</v>
      </c>
      <c r="BZ14" s="645" t="s">
        <v>84</v>
      </c>
      <c r="CA14" s="646" t="s">
        <v>84</v>
      </c>
    </row>
    <row r="15" spans="1:84" s="616" customFormat="1" ht="19.5" customHeight="1" thickBot="1" x14ac:dyDescent="0.25">
      <c r="A15" s="2057"/>
      <c r="B15" s="2146"/>
      <c r="C15" s="2058"/>
      <c r="D15" s="642"/>
      <c r="E15" s="643"/>
      <c r="F15" s="2213" t="s">
        <v>200</v>
      </c>
      <c r="G15" s="2213"/>
      <c r="H15" s="647">
        <f>H8</f>
        <v>3.29</v>
      </c>
      <c r="I15" s="648">
        <f>I8</f>
        <v>3.2591999999999996E-2</v>
      </c>
      <c r="J15" s="649">
        <f>J8</f>
        <v>1.5096E-2</v>
      </c>
      <c r="K15" s="650" t="s">
        <v>84</v>
      </c>
      <c r="L15" s="651" t="s">
        <v>84</v>
      </c>
      <c r="M15" s="652" t="s">
        <v>84</v>
      </c>
      <c r="N15" s="650" t="s">
        <v>84</v>
      </c>
      <c r="O15" s="651" t="s">
        <v>84</v>
      </c>
      <c r="P15" s="652" t="s">
        <v>84</v>
      </c>
      <c r="Q15" s="650" t="s">
        <v>84</v>
      </c>
      <c r="R15" s="651" t="s">
        <v>84</v>
      </c>
      <c r="S15" s="652" t="s">
        <v>84</v>
      </c>
      <c r="T15" s="650" t="s">
        <v>84</v>
      </c>
      <c r="U15" s="651" t="s">
        <v>84</v>
      </c>
      <c r="V15" s="652" t="s">
        <v>84</v>
      </c>
      <c r="W15" s="650" t="s">
        <v>84</v>
      </c>
      <c r="X15" s="651" t="s">
        <v>84</v>
      </c>
      <c r="Y15" s="652" t="s">
        <v>84</v>
      </c>
      <c r="Z15" s="650" t="s">
        <v>84</v>
      </c>
      <c r="AA15" s="651" t="s">
        <v>84</v>
      </c>
      <c r="AB15" s="652" t="s">
        <v>84</v>
      </c>
      <c r="AC15" s="650" t="s">
        <v>84</v>
      </c>
      <c r="AD15" s="651" t="s">
        <v>84</v>
      </c>
      <c r="AE15" s="652" t="s">
        <v>84</v>
      </c>
      <c r="AF15" s="650" t="s">
        <v>84</v>
      </c>
      <c r="AG15" s="651" t="s">
        <v>84</v>
      </c>
      <c r="AH15" s="652" t="s">
        <v>84</v>
      </c>
      <c r="AI15" s="650" t="s">
        <v>84</v>
      </c>
      <c r="AJ15" s="651" t="s">
        <v>84</v>
      </c>
      <c r="AK15" s="652" t="s">
        <v>84</v>
      </c>
      <c r="AL15" s="650" t="s">
        <v>84</v>
      </c>
      <c r="AM15" s="651" t="s">
        <v>84</v>
      </c>
      <c r="AN15" s="652" t="s">
        <v>84</v>
      </c>
      <c r="AO15" s="650" t="s">
        <v>84</v>
      </c>
      <c r="AP15" s="651" t="s">
        <v>84</v>
      </c>
      <c r="AQ15" s="652" t="s">
        <v>84</v>
      </c>
      <c r="AR15" s="650" t="s">
        <v>84</v>
      </c>
      <c r="AS15" s="651" t="s">
        <v>84</v>
      </c>
      <c r="AT15" s="652" t="s">
        <v>84</v>
      </c>
      <c r="AU15" s="650" t="s">
        <v>84</v>
      </c>
      <c r="AV15" s="651" t="s">
        <v>84</v>
      </c>
      <c r="AW15" s="652" t="s">
        <v>84</v>
      </c>
      <c r="AX15" s="650" t="s">
        <v>84</v>
      </c>
      <c r="AY15" s="651" t="s">
        <v>84</v>
      </c>
      <c r="AZ15" s="652" t="s">
        <v>84</v>
      </c>
      <c r="BA15" s="650" t="s">
        <v>84</v>
      </c>
      <c r="BB15" s="651" t="s">
        <v>84</v>
      </c>
      <c r="BC15" s="652" t="s">
        <v>84</v>
      </c>
      <c r="BD15" s="650" t="s">
        <v>84</v>
      </c>
      <c r="BE15" s="651" t="s">
        <v>84</v>
      </c>
      <c r="BF15" s="652" t="s">
        <v>84</v>
      </c>
      <c r="BG15" s="650" t="s">
        <v>84</v>
      </c>
      <c r="BH15" s="651" t="s">
        <v>84</v>
      </c>
      <c r="BI15" s="652" t="s">
        <v>84</v>
      </c>
      <c r="BJ15" s="650" t="s">
        <v>84</v>
      </c>
      <c r="BK15" s="651" t="s">
        <v>84</v>
      </c>
      <c r="BL15" s="652" t="s">
        <v>84</v>
      </c>
      <c r="BM15" s="650" t="s">
        <v>84</v>
      </c>
      <c r="BN15" s="651" t="s">
        <v>84</v>
      </c>
      <c r="BO15" s="652" t="s">
        <v>84</v>
      </c>
      <c r="BP15" s="650" t="s">
        <v>84</v>
      </c>
      <c r="BQ15" s="651" t="s">
        <v>84</v>
      </c>
      <c r="BR15" s="652" t="s">
        <v>84</v>
      </c>
      <c r="BS15" s="650" t="s">
        <v>84</v>
      </c>
      <c r="BT15" s="651" t="s">
        <v>84</v>
      </c>
      <c r="BU15" s="652" t="s">
        <v>84</v>
      </c>
      <c r="BV15" s="650" t="s">
        <v>84</v>
      </c>
      <c r="BW15" s="651" t="s">
        <v>84</v>
      </c>
      <c r="BX15" s="652" t="s">
        <v>84</v>
      </c>
      <c r="BY15" s="650" t="s">
        <v>84</v>
      </c>
      <c r="BZ15" s="651" t="s">
        <v>84</v>
      </c>
      <c r="CA15" s="652" t="s">
        <v>84</v>
      </c>
    </row>
    <row r="16" spans="1:84" s="230" customFormat="1" ht="21" customHeight="1" thickBot="1" x14ac:dyDescent="0.3">
      <c r="A16" s="253" t="s">
        <v>42</v>
      </c>
      <c r="B16" s="653" t="s">
        <v>84</v>
      </c>
      <c r="C16" s="654"/>
      <c r="D16" s="253" t="s">
        <v>43</v>
      </c>
      <c r="E16" s="2214" t="s">
        <v>84</v>
      </c>
      <c r="F16" s="2214"/>
      <c r="G16" s="655"/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263"/>
      <c r="AA16" s="263"/>
      <c r="AB16" s="263"/>
      <c r="AC16" s="263"/>
      <c r="AD16" s="263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2"/>
      <c r="AR16" s="263"/>
      <c r="AS16" s="263"/>
      <c r="AT16" s="263"/>
      <c r="AU16" s="263"/>
      <c r="AV16" s="263"/>
      <c r="AW16" s="263"/>
      <c r="AX16" s="263"/>
      <c r="AY16" s="263"/>
      <c r="AZ16" s="263"/>
      <c r="BA16" s="263"/>
      <c r="BB16" s="263"/>
      <c r="BC16" s="263"/>
      <c r="BD16" s="263"/>
      <c r="BE16" s="263"/>
      <c r="BF16" s="263"/>
      <c r="BG16" s="263"/>
      <c r="BH16" s="263"/>
      <c r="BI16" s="263"/>
      <c r="BJ16" s="263"/>
      <c r="BK16" s="263"/>
      <c r="BL16" s="263"/>
      <c r="BM16" s="263"/>
      <c r="BN16" s="263"/>
      <c r="BO16" s="263"/>
      <c r="BP16" s="263"/>
      <c r="BQ16" s="263"/>
      <c r="BR16" s="263"/>
      <c r="BS16" s="263"/>
      <c r="BT16" s="263"/>
      <c r="BU16" s="263"/>
      <c r="BV16" s="263"/>
      <c r="BW16" s="263"/>
      <c r="BX16" s="263"/>
      <c r="BY16" s="263"/>
      <c r="BZ16" s="263"/>
      <c r="CA16" s="262"/>
    </row>
    <row r="17" spans="1:81" s="230" customFormat="1" ht="16.5" customHeight="1" thickBot="1" x14ac:dyDescent="0.3">
      <c r="A17" s="656"/>
      <c r="B17" s="265"/>
      <c r="C17" s="265"/>
      <c r="D17" s="266"/>
      <c r="E17" s="267"/>
      <c r="F17" s="266"/>
      <c r="G17" s="657"/>
      <c r="H17" s="268"/>
      <c r="I17" s="266"/>
      <c r="J17" s="266"/>
      <c r="K17" s="268"/>
      <c r="L17" s="266"/>
      <c r="M17" s="266"/>
      <c r="N17" s="268"/>
      <c r="O17" s="266"/>
      <c r="P17" s="266"/>
      <c r="Q17" s="268"/>
      <c r="R17" s="266"/>
      <c r="S17" s="266"/>
      <c r="T17" s="268"/>
      <c r="U17" s="266"/>
      <c r="V17" s="266"/>
      <c r="W17" s="268"/>
      <c r="X17" s="266"/>
      <c r="Y17" s="266"/>
      <c r="Z17" s="268"/>
      <c r="AA17" s="266"/>
      <c r="AB17" s="266"/>
      <c r="AC17" s="268"/>
      <c r="AD17" s="266"/>
      <c r="AE17" s="266"/>
      <c r="AF17" s="268"/>
      <c r="AG17" s="266"/>
      <c r="AH17" s="266"/>
      <c r="AI17" s="268"/>
      <c r="AJ17" s="266"/>
      <c r="AK17" s="266"/>
      <c r="AL17" s="268"/>
      <c r="AM17" s="266"/>
      <c r="AN17" s="266"/>
      <c r="AO17" s="268"/>
      <c r="AP17" s="266"/>
      <c r="AQ17" s="266"/>
      <c r="AR17" s="268"/>
      <c r="AS17" s="266"/>
      <c r="AT17" s="266"/>
      <c r="AU17" s="268"/>
      <c r="AV17" s="266"/>
      <c r="AW17" s="266"/>
      <c r="AX17" s="268"/>
      <c r="AY17" s="266"/>
      <c r="AZ17" s="266"/>
      <c r="BA17" s="268"/>
      <c r="BB17" s="266"/>
      <c r="BC17" s="266"/>
      <c r="BD17" s="268"/>
      <c r="BE17" s="266"/>
      <c r="BF17" s="266"/>
      <c r="BG17" s="268"/>
      <c r="BH17" s="266"/>
      <c r="BI17" s="266"/>
      <c r="BJ17" s="268"/>
      <c r="BK17" s="266"/>
      <c r="BL17" s="266"/>
      <c r="BM17" s="268"/>
      <c r="BN17" s="266"/>
      <c r="BO17" s="266"/>
      <c r="BP17" s="268"/>
      <c r="BQ17" s="266"/>
      <c r="BR17" s="266"/>
      <c r="BS17" s="268"/>
      <c r="BT17" s="266"/>
      <c r="BU17" s="266"/>
      <c r="BV17" s="268"/>
      <c r="BW17" s="266"/>
      <c r="BX17" s="266"/>
      <c r="BY17" s="268"/>
      <c r="BZ17" s="266"/>
      <c r="CA17" s="266"/>
    </row>
    <row r="18" spans="1:81" s="616" customFormat="1" ht="18.75" customHeight="1" x14ac:dyDescent="0.2">
      <c r="A18" s="2215" t="s">
        <v>40</v>
      </c>
      <c r="B18" s="2216"/>
      <c r="C18" s="2216"/>
      <c r="D18" s="2217" t="s">
        <v>5</v>
      </c>
      <c r="E18" s="2218"/>
      <c r="F18" s="2218" t="s">
        <v>6</v>
      </c>
      <c r="G18" s="2219"/>
      <c r="H18" s="604" t="s">
        <v>4</v>
      </c>
      <c r="I18" s="605" t="s">
        <v>9</v>
      </c>
      <c r="J18" s="606" t="s">
        <v>10</v>
      </c>
      <c r="K18" s="607" t="s">
        <v>4</v>
      </c>
      <c r="L18" s="605" t="s">
        <v>9</v>
      </c>
      <c r="M18" s="606" t="s">
        <v>10</v>
      </c>
      <c r="N18" s="607" t="s">
        <v>4</v>
      </c>
      <c r="O18" s="605" t="s">
        <v>9</v>
      </c>
      <c r="P18" s="606" t="s">
        <v>10</v>
      </c>
      <c r="Q18" s="607" t="s">
        <v>4</v>
      </c>
      <c r="R18" s="605" t="s">
        <v>9</v>
      </c>
      <c r="S18" s="606" t="s">
        <v>10</v>
      </c>
      <c r="T18" s="607" t="s">
        <v>4</v>
      </c>
      <c r="U18" s="605" t="s">
        <v>9</v>
      </c>
      <c r="V18" s="606" t="s">
        <v>10</v>
      </c>
      <c r="W18" s="607" t="s">
        <v>4</v>
      </c>
      <c r="X18" s="605" t="s">
        <v>9</v>
      </c>
      <c r="Y18" s="606" t="s">
        <v>10</v>
      </c>
      <c r="Z18" s="607" t="s">
        <v>4</v>
      </c>
      <c r="AA18" s="605" t="s">
        <v>9</v>
      </c>
      <c r="AB18" s="606" t="s">
        <v>10</v>
      </c>
      <c r="AC18" s="607" t="s">
        <v>4</v>
      </c>
      <c r="AD18" s="605" t="s">
        <v>9</v>
      </c>
      <c r="AE18" s="606" t="s">
        <v>10</v>
      </c>
      <c r="AF18" s="607" t="s">
        <v>4</v>
      </c>
      <c r="AG18" s="605" t="s">
        <v>9</v>
      </c>
      <c r="AH18" s="606" t="s">
        <v>10</v>
      </c>
      <c r="AI18" s="607" t="s">
        <v>4</v>
      </c>
      <c r="AJ18" s="605" t="s">
        <v>9</v>
      </c>
      <c r="AK18" s="606" t="s">
        <v>10</v>
      </c>
      <c r="AL18" s="607" t="s">
        <v>4</v>
      </c>
      <c r="AM18" s="605" t="s">
        <v>9</v>
      </c>
      <c r="AN18" s="606" t="s">
        <v>10</v>
      </c>
      <c r="AO18" s="607" t="s">
        <v>4</v>
      </c>
      <c r="AP18" s="605" t="s">
        <v>9</v>
      </c>
      <c r="AQ18" s="606" t="s">
        <v>10</v>
      </c>
      <c r="AR18" s="607" t="s">
        <v>4</v>
      </c>
      <c r="AS18" s="605" t="s">
        <v>9</v>
      </c>
      <c r="AT18" s="606" t="s">
        <v>10</v>
      </c>
      <c r="AU18" s="607" t="s">
        <v>4</v>
      </c>
      <c r="AV18" s="605" t="s">
        <v>9</v>
      </c>
      <c r="AW18" s="606" t="s">
        <v>10</v>
      </c>
      <c r="AX18" s="607" t="s">
        <v>4</v>
      </c>
      <c r="AY18" s="605" t="s">
        <v>9</v>
      </c>
      <c r="AZ18" s="606" t="s">
        <v>10</v>
      </c>
      <c r="BA18" s="607" t="s">
        <v>4</v>
      </c>
      <c r="BB18" s="605" t="s">
        <v>9</v>
      </c>
      <c r="BC18" s="606" t="s">
        <v>10</v>
      </c>
      <c r="BD18" s="607" t="s">
        <v>4</v>
      </c>
      <c r="BE18" s="605" t="s">
        <v>9</v>
      </c>
      <c r="BF18" s="606" t="s">
        <v>10</v>
      </c>
      <c r="BG18" s="607" t="s">
        <v>4</v>
      </c>
      <c r="BH18" s="605" t="s">
        <v>9</v>
      </c>
      <c r="BI18" s="606" t="s">
        <v>10</v>
      </c>
      <c r="BJ18" s="607" t="s">
        <v>4</v>
      </c>
      <c r="BK18" s="605" t="s">
        <v>9</v>
      </c>
      <c r="BL18" s="606" t="s">
        <v>10</v>
      </c>
      <c r="BM18" s="607" t="s">
        <v>4</v>
      </c>
      <c r="BN18" s="605" t="s">
        <v>9</v>
      </c>
      <c r="BO18" s="606" t="s">
        <v>10</v>
      </c>
      <c r="BP18" s="607" t="s">
        <v>4</v>
      </c>
      <c r="BQ18" s="605" t="s">
        <v>9</v>
      </c>
      <c r="BR18" s="606" t="s">
        <v>10</v>
      </c>
      <c r="BS18" s="607" t="s">
        <v>4</v>
      </c>
      <c r="BT18" s="605" t="s">
        <v>9</v>
      </c>
      <c r="BU18" s="606" t="s">
        <v>10</v>
      </c>
      <c r="BV18" s="607" t="s">
        <v>4</v>
      </c>
      <c r="BW18" s="605" t="s">
        <v>9</v>
      </c>
      <c r="BX18" s="606" t="s">
        <v>10</v>
      </c>
      <c r="BY18" s="607" t="s">
        <v>4</v>
      </c>
      <c r="BZ18" s="605" t="s">
        <v>9</v>
      </c>
      <c r="CA18" s="606" t="s">
        <v>10</v>
      </c>
    </row>
    <row r="19" spans="1:81" s="616" customFormat="1" ht="18.75" customHeight="1" thickBot="1" x14ac:dyDescent="0.25">
      <c r="A19" s="2220"/>
      <c r="B19" s="2221"/>
      <c r="C19" s="2221"/>
      <c r="D19" s="658" t="s">
        <v>7</v>
      </c>
      <c r="E19" s="659" t="s">
        <v>8</v>
      </c>
      <c r="F19" s="660" t="s">
        <v>7</v>
      </c>
      <c r="G19" s="661" t="s">
        <v>8</v>
      </c>
      <c r="H19" s="608" t="s">
        <v>30</v>
      </c>
      <c r="I19" s="609" t="s">
        <v>31</v>
      </c>
      <c r="J19" s="610" t="s">
        <v>32</v>
      </c>
      <c r="K19" s="611" t="s">
        <v>30</v>
      </c>
      <c r="L19" s="609" t="s">
        <v>31</v>
      </c>
      <c r="M19" s="610" t="s">
        <v>32</v>
      </c>
      <c r="N19" s="611" t="s">
        <v>30</v>
      </c>
      <c r="O19" s="609" t="s">
        <v>31</v>
      </c>
      <c r="P19" s="610" t="s">
        <v>32</v>
      </c>
      <c r="Q19" s="611" t="s">
        <v>30</v>
      </c>
      <c r="R19" s="609" t="s">
        <v>31</v>
      </c>
      <c r="S19" s="610" t="s">
        <v>32</v>
      </c>
      <c r="T19" s="611" t="s">
        <v>30</v>
      </c>
      <c r="U19" s="609" t="s">
        <v>31</v>
      </c>
      <c r="V19" s="610" t="s">
        <v>32</v>
      </c>
      <c r="W19" s="611" t="s">
        <v>30</v>
      </c>
      <c r="X19" s="609" t="s">
        <v>31</v>
      </c>
      <c r="Y19" s="610" t="s">
        <v>32</v>
      </c>
      <c r="Z19" s="611" t="s">
        <v>30</v>
      </c>
      <c r="AA19" s="609" t="s">
        <v>31</v>
      </c>
      <c r="AB19" s="610" t="s">
        <v>32</v>
      </c>
      <c r="AC19" s="611" t="s">
        <v>30</v>
      </c>
      <c r="AD19" s="609" t="s">
        <v>31</v>
      </c>
      <c r="AE19" s="610" t="s">
        <v>32</v>
      </c>
      <c r="AF19" s="611" t="s">
        <v>30</v>
      </c>
      <c r="AG19" s="609" t="s">
        <v>31</v>
      </c>
      <c r="AH19" s="610" t="s">
        <v>32</v>
      </c>
      <c r="AI19" s="611" t="s">
        <v>30</v>
      </c>
      <c r="AJ19" s="609" t="s">
        <v>31</v>
      </c>
      <c r="AK19" s="610" t="s">
        <v>32</v>
      </c>
      <c r="AL19" s="611" t="s">
        <v>30</v>
      </c>
      <c r="AM19" s="609" t="s">
        <v>31</v>
      </c>
      <c r="AN19" s="610" t="s">
        <v>32</v>
      </c>
      <c r="AO19" s="611" t="s">
        <v>30</v>
      </c>
      <c r="AP19" s="609" t="s">
        <v>31</v>
      </c>
      <c r="AQ19" s="610" t="s">
        <v>32</v>
      </c>
      <c r="AR19" s="611" t="s">
        <v>30</v>
      </c>
      <c r="AS19" s="609" t="s">
        <v>31</v>
      </c>
      <c r="AT19" s="610" t="s">
        <v>32</v>
      </c>
      <c r="AU19" s="611" t="s">
        <v>30</v>
      </c>
      <c r="AV19" s="609" t="s">
        <v>31</v>
      </c>
      <c r="AW19" s="610" t="s">
        <v>32</v>
      </c>
      <c r="AX19" s="611" t="s">
        <v>30</v>
      </c>
      <c r="AY19" s="609" t="s">
        <v>31</v>
      </c>
      <c r="AZ19" s="610" t="s">
        <v>32</v>
      </c>
      <c r="BA19" s="611" t="s">
        <v>30</v>
      </c>
      <c r="BB19" s="609" t="s">
        <v>31</v>
      </c>
      <c r="BC19" s="610" t="s">
        <v>32</v>
      </c>
      <c r="BD19" s="611" t="s">
        <v>30</v>
      </c>
      <c r="BE19" s="609" t="s">
        <v>31</v>
      </c>
      <c r="BF19" s="610" t="s">
        <v>32</v>
      </c>
      <c r="BG19" s="611" t="s">
        <v>30</v>
      </c>
      <c r="BH19" s="609" t="s">
        <v>31</v>
      </c>
      <c r="BI19" s="610" t="s">
        <v>32</v>
      </c>
      <c r="BJ19" s="611" t="s">
        <v>30</v>
      </c>
      <c r="BK19" s="609" t="s">
        <v>31</v>
      </c>
      <c r="BL19" s="610" t="s">
        <v>32</v>
      </c>
      <c r="BM19" s="611" t="s">
        <v>30</v>
      </c>
      <c r="BN19" s="609" t="s">
        <v>31</v>
      </c>
      <c r="BO19" s="610" t="s">
        <v>32</v>
      </c>
      <c r="BP19" s="611" t="s">
        <v>30</v>
      </c>
      <c r="BQ19" s="609" t="s">
        <v>31</v>
      </c>
      <c r="BR19" s="610" t="s">
        <v>32</v>
      </c>
      <c r="BS19" s="611" t="s">
        <v>30</v>
      </c>
      <c r="BT19" s="609" t="s">
        <v>31</v>
      </c>
      <c r="BU19" s="610" t="s">
        <v>32</v>
      </c>
      <c r="BV19" s="611" t="s">
        <v>30</v>
      </c>
      <c r="BW19" s="609" t="s">
        <v>31</v>
      </c>
      <c r="BX19" s="610" t="s">
        <v>32</v>
      </c>
      <c r="BY19" s="611" t="s">
        <v>30</v>
      </c>
      <c r="BZ19" s="609" t="s">
        <v>31</v>
      </c>
      <c r="CA19" s="610" t="s">
        <v>32</v>
      </c>
    </row>
    <row r="20" spans="1:81" s="230" customFormat="1" ht="16.5" customHeight="1" x14ac:dyDescent="0.25">
      <c r="A20" s="2113" t="s">
        <v>201</v>
      </c>
      <c r="B20" s="2114"/>
      <c r="C20" s="2114"/>
      <c r="D20" s="2114"/>
      <c r="E20" s="2114"/>
      <c r="F20" s="2114"/>
      <c r="G20" s="2115"/>
      <c r="H20" s="662">
        <f>ROUND(SQRT(I20^2+J20^2)*1000/(SQRT(3)*I11),2)</f>
        <v>3.08</v>
      </c>
      <c r="I20" s="613">
        <v>3.024E-2</v>
      </c>
      <c r="J20" s="614">
        <v>1.464E-2</v>
      </c>
      <c r="K20" s="662">
        <f>ROUND(SQRT(L20^2+M20^2)*1000/(SQRT(3)*L11),2)</f>
        <v>3.05</v>
      </c>
      <c r="L20" s="613">
        <v>2.9760000000000002E-2</v>
      </c>
      <c r="M20" s="614">
        <v>1.4880000000000001E-2</v>
      </c>
      <c r="N20" s="662">
        <f>ROUND(SQRT(O20^2+P20^2)*1000/(SQRT(3)*O11),2)</f>
        <v>3.06</v>
      </c>
      <c r="O20" s="613">
        <v>0.03</v>
      </c>
      <c r="P20" s="614">
        <v>1.464E-2</v>
      </c>
      <c r="Q20" s="662">
        <f>ROUND(SQRT(R20^2+S20^2)*1000/(SQRT(3)*R11),2)</f>
        <v>3.04</v>
      </c>
      <c r="R20" s="613">
        <v>2.9760000000000002E-2</v>
      </c>
      <c r="S20" s="614">
        <v>1.464E-2</v>
      </c>
      <c r="T20" s="662">
        <f>ROUND(SQRT(U20^2+V20^2)*1000/(SQRT(3)*U11),2)</f>
        <v>3.02</v>
      </c>
      <c r="U20" s="613">
        <v>2.9520000000000005E-2</v>
      </c>
      <c r="V20" s="614">
        <v>1.464E-2</v>
      </c>
      <c r="W20" s="662">
        <f>ROUND(SQRT(X20^2+Y20^2)*1000/(SQRT(3)*X11),2)</f>
        <v>3.09</v>
      </c>
      <c r="X20" s="613">
        <v>3.0479999999999997E-2</v>
      </c>
      <c r="Y20" s="614">
        <v>1.44E-2</v>
      </c>
      <c r="Z20" s="662">
        <f>ROUND(SQRT(AA20^2+AB20^2)*1000/(SQRT(3)*AA11),2)</f>
        <v>3.16</v>
      </c>
      <c r="AA20" s="613">
        <v>3.1199999999999999E-2</v>
      </c>
      <c r="AB20" s="614">
        <v>1.464E-2</v>
      </c>
      <c r="AC20" s="662">
        <f>ROUND(SQRT(AD20^2+AE20^2)*1000/(SQRT(3)*AD11),2)</f>
        <v>3.07</v>
      </c>
      <c r="AD20" s="613">
        <v>3.024E-2</v>
      </c>
      <c r="AE20" s="614">
        <v>1.44E-2</v>
      </c>
      <c r="AF20" s="662">
        <f>ROUND(SQRT(AG20^2+AH20^2)*1000/(SQRT(3)*AG11),2)</f>
        <v>3.31</v>
      </c>
      <c r="AG20" s="613">
        <v>3.3120000000000004E-2</v>
      </c>
      <c r="AH20" s="614">
        <v>1.44E-2</v>
      </c>
      <c r="AI20" s="662">
        <f>ROUND(SQRT(AJ20^2+AK20^2)*1000/(SQRT(3)*AJ11),2)</f>
        <v>3.32</v>
      </c>
      <c r="AJ20" s="613">
        <v>3.3360000000000001E-2</v>
      </c>
      <c r="AK20" s="614">
        <v>1.4160000000000001E-2</v>
      </c>
      <c r="AL20" s="662">
        <f>ROUND(SQRT(AM20^2+AN20^2)*1000/(SQRT(3)*AM11),2)</f>
        <v>3.3</v>
      </c>
      <c r="AM20" s="613">
        <v>3.3119999999999997E-2</v>
      </c>
      <c r="AN20" s="614">
        <v>1.4160000000000001E-2</v>
      </c>
      <c r="AO20" s="662">
        <f>ROUND(SQRT(AP20^2+AQ20^2)*1000/(SQRT(3)*AP11),2)</f>
        <v>3.05</v>
      </c>
      <c r="AP20" s="613">
        <v>3.024E-2</v>
      </c>
      <c r="AQ20" s="614">
        <v>1.392E-2</v>
      </c>
      <c r="AR20" s="662">
        <f>ROUND(SQRT(AS20^2+AT20^2)*1000/(SQRT(3)*AS11),2)</f>
        <v>3.17</v>
      </c>
      <c r="AS20" s="613">
        <v>3.1439999999999996E-2</v>
      </c>
      <c r="AT20" s="614">
        <v>1.44E-2</v>
      </c>
      <c r="AU20" s="662">
        <f>ROUND(SQRT(AV20^2+AW20^2)*1000/(SQRT(3)*AV11),2)</f>
        <v>3.26</v>
      </c>
      <c r="AV20" s="613">
        <v>3.2399999999999998E-2</v>
      </c>
      <c r="AW20" s="614">
        <v>1.464E-2</v>
      </c>
      <c r="AX20" s="662">
        <f>ROUND(SQRT(AY20^2+AZ20^2)*1000/(SQRT(3)*AY11),2)</f>
        <v>3.22</v>
      </c>
      <c r="AY20" s="613">
        <v>3.2159999999999994E-2</v>
      </c>
      <c r="AZ20" s="614">
        <v>1.4160000000000001E-2</v>
      </c>
      <c r="BA20" s="662">
        <f>ROUND(SQRT(BB20^2+BC20^2)*1000/(SQRT(3)*BB11),2)</f>
        <v>2.88</v>
      </c>
      <c r="BB20" s="613">
        <v>2.8079999999999997E-2</v>
      </c>
      <c r="BC20" s="614">
        <v>1.4160000000000001E-2</v>
      </c>
      <c r="BD20" s="662">
        <f>ROUND(SQRT(BE20^2+BF20^2)*1000/(SQRT(3)*BE11),2)</f>
        <v>3.06</v>
      </c>
      <c r="BE20" s="613">
        <v>3.024E-2</v>
      </c>
      <c r="BF20" s="614">
        <v>1.4160000000000001E-2</v>
      </c>
      <c r="BG20" s="662">
        <f>ROUND(SQRT(BH20^2+BI20^2)*1000/(SQRT(3)*BH11),2)</f>
        <v>3.2</v>
      </c>
      <c r="BH20" s="613">
        <v>3.168E-2</v>
      </c>
      <c r="BI20" s="614">
        <v>1.464E-2</v>
      </c>
      <c r="BJ20" s="662">
        <f>ROUND(SQRT(BK20^2+BL20^2)*1000/(SQRT(3)*BK11),2)</f>
        <v>3.04</v>
      </c>
      <c r="BK20" s="613">
        <v>2.9760000000000002E-2</v>
      </c>
      <c r="BL20" s="614">
        <v>1.464E-2</v>
      </c>
      <c r="BM20" s="662">
        <f>ROUND(SQRT(BN20^2+BO20^2)*1000/(SQRT(3)*BN11),2)</f>
        <v>3.02</v>
      </c>
      <c r="BN20" s="613">
        <v>2.9520000000000005E-2</v>
      </c>
      <c r="BO20" s="614">
        <v>1.464E-2</v>
      </c>
      <c r="BP20" s="662">
        <f>ROUND(SQRT(BQ20^2+BR20^2)*1000/(SQRT(3)*BQ11),2)</f>
        <v>3.02</v>
      </c>
      <c r="BQ20" s="613">
        <v>2.9520000000000001E-2</v>
      </c>
      <c r="BR20" s="614">
        <v>1.464E-2</v>
      </c>
      <c r="BS20" s="662">
        <f>ROUND(SQRT(BT20^2+BU20^2)*1000/(SQRT(3)*BT11),2)</f>
        <v>3.01</v>
      </c>
      <c r="BT20" s="613">
        <v>2.9520000000000005E-2</v>
      </c>
      <c r="BU20" s="614">
        <v>1.44E-2</v>
      </c>
      <c r="BV20" s="662">
        <f>ROUND(SQRT(BW20^2+BX20^2)*1000/(SQRT(3)*BW11),2)</f>
        <v>2.93</v>
      </c>
      <c r="BW20" s="613">
        <v>2.8560000000000002E-2</v>
      </c>
      <c r="BX20" s="614">
        <v>1.44E-2</v>
      </c>
      <c r="BY20" s="662">
        <f>ROUND(SQRT(BZ20^2+CA20^2)*1000/(SQRT(3)*BZ11),2)</f>
        <v>2.95</v>
      </c>
      <c r="BZ20" s="613">
        <v>2.8799999999999999E-2</v>
      </c>
      <c r="CA20" s="614">
        <v>1.44E-2</v>
      </c>
      <c r="CB20" s="618">
        <f>SUM(BZ20,BW20,BT20,BQ20,BN20,BK20,BH20,BE20,BB20,AY20,AV20,AS20,AP20,AM20,AJ20,AG20,AD20,AA20,X20,U20,R20,O20,L20,I20)</f>
        <v>0.73272000000000004</v>
      </c>
      <c r="CC20" s="618">
        <f>SUM(CA20,BX20,BU20,BR20,BO20,BL20,BI20,BF20,BC20,AZ20,AW20,AT20,AQ20,AN20,AK20,AH20,AE20,AB20,Y20,V20,S20,P20,M20,J20)</f>
        <v>0.3468</v>
      </c>
    </row>
    <row r="21" spans="1:81" s="230" customFormat="1" ht="16.5" customHeight="1" x14ac:dyDescent="0.25">
      <c r="A21" s="663"/>
      <c r="B21" s="664"/>
      <c r="C21" s="664"/>
      <c r="D21" s="664"/>
      <c r="E21" s="664"/>
      <c r="F21" s="664"/>
      <c r="G21" s="665"/>
      <c r="H21" s="666"/>
      <c r="I21" s="667"/>
      <c r="J21" s="668"/>
      <c r="K21" s="669"/>
      <c r="L21" s="667"/>
      <c r="M21" s="668"/>
      <c r="N21" s="669"/>
      <c r="O21" s="667"/>
      <c r="P21" s="668"/>
      <c r="Q21" s="669"/>
      <c r="R21" s="667"/>
      <c r="S21" s="668"/>
      <c r="T21" s="669"/>
      <c r="U21" s="667"/>
      <c r="V21" s="668"/>
      <c r="W21" s="669"/>
      <c r="X21" s="667"/>
      <c r="Y21" s="668"/>
      <c r="Z21" s="669"/>
      <c r="AA21" s="667"/>
      <c r="AB21" s="668"/>
      <c r="AC21" s="669"/>
      <c r="AD21" s="667"/>
      <c r="AE21" s="668"/>
      <c r="AF21" s="669"/>
      <c r="AG21" s="667"/>
      <c r="AH21" s="668"/>
      <c r="AI21" s="669"/>
      <c r="AJ21" s="667"/>
      <c r="AK21" s="668"/>
      <c r="AL21" s="669"/>
      <c r="AM21" s="667"/>
      <c r="AN21" s="668"/>
      <c r="AO21" s="669"/>
      <c r="AP21" s="667"/>
      <c r="AQ21" s="668"/>
      <c r="AR21" s="669"/>
      <c r="AS21" s="667"/>
      <c r="AT21" s="668"/>
      <c r="AU21" s="669"/>
      <c r="AV21" s="667"/>
      <c r="AW21" s="668"/>
      <c r="AX21" s="669"/>
      <c r="AY21" s="667"/>
      <c r="AZ21" s="668"/>
      <c r="BA21" s="669"/>
      <c r="BB21" s="667"/>
      <c r="BC21" s="668"/>
      <c r="BD21" s="669"/>
      <c r="BE21" s="667"/>
      <c r="BF21" s="668"/>
      <c r="BG21" s="669"/>
      <c r="BH21" s="667"/>
      <c r="BI21" s="668"/>
      <c r="BJ21" s="669"/>
      <c r="BK21" s="667"/>
      <c r="BL21" s="668"/>
      <c r="BM21" s="669"/>
      <c r="BN21" s="667"/>
      <c r="BO21" s="668"/>
      <c r="BP21" s="669"/>
      <c r="BQ21" s="667"/>
      <c r="BR21" s="668"/>
      <c r="BS21" s="669"/>
      <c r="BT21" s="667"/>
      <c r="BU21" s="668"/>
      <c r="BV21" s="669"/>
      <c r="BW21" s="667"/>
      <c r="BX21" s="668"/>
      <c r="BY21" s="669"/>
      <c r="BZ21" s="667"/>
      <c r="CA21" s="668"/>
    </row>
    <row r="22" spans="1:81" s="230" customFormat="1" ht="16.5" customHeight="1" thickBot="1" x14ac:dyDescent="0.3">
      <c r="A22" s="258"/>
      <c r="B22" s="261"/>
      <c r="C22" s="261"/>
      <c r="D22" s="261"/>
      <c r="E22" s="261"/>
      <c r="F22" s="261"/>
      <c r="G22" s="351"/>
      <c r="H22" s="670"/>
      <c r="I22" s="320"/>
      <c r="J22" s="321"/>
      <c r="K22" s="671"/>
      <c r="L22" s="320"/>
      <c r="M22" s="321"/>
      <c r="N22" s="671"/>
      <c r="O22" s="320"/>
      <c r="P22" s="321"/>
      <c r="Q22" s="671"/>
      <c r="R22" s="320"/>
      <c r="S22" s="321"/>
      <c r="T22" s="671"/>
      <c r="U22" s="320"/>
      <c r="V22" s="321"/>
      <c r="W22" s="671"/>
      <c r="X22" s="320"/>
      <c r="Y22" s="321"/>
      <c r="Z22" s="671"/>
      <c r="AA22" s="320"/>
      <c r="AB22" s="321"/>
      <c r="AC22" s="671"/>
      <c r="AD22" s="320"/>
      <c r="AE22" s="321"/>
      <c r="AF22" s="671"/>
      <c r="AG22" s="320"/>
      <c r="AH22" s="321"/>
      <c r="AI22" s="671"/>
      <c r="AJ22" s="320"/>
      <c r="AK22" s="321"/>
      <c r="AL22" s="671"/>
      <c r="AM22" s="320"/>
      <c r="AN22" s="321"/>
      <c r="AO22" s="671"/>
      <c r="AP22" s="320"/>
      <c r="AQ22" s="321"/>
      <c r="AR22" s="671"/>
      <c r="AS22" s="320"/>
      <c r="AT22" s="321"/>
      <c r="AU22" s="671"/>
      <c r="AV22" s="320"/>
      <c r="AW22" s="321"/>
      <c r="AX22" s="671"/>
      <c r="AY22" s="320"/>
      <c r="AZ22" s="321"/>
      <c r="BA22" s="671"/>
      <c r="BB22" s="320"/>
      <c r="BC22" s="321"/>
      <c r="BD22" s="671"/>
      <c r="BE22" s="320"/>
      <c r="BF22" s="321"/>
      <c r="BG22" s="671"/>
      <c r="BH22" s="320"/>
      <c r="BI22" s="321"/>
      <c r="BJ22" s="671"/>
      <c r="BK22" s="320"/>
      <c r="BL22" s="321"/>
      <c r="BM22" s="671"/>
      <c r="BN22" s="320"/>
      <c r="BO22" s="321"/>
      <c r="BP22" s="671"/>
      <c r="BQ22" s="320"/>
      <c r="BR22" s="321"/>
      <c r="BS22" s="671"/>
      <c r="BT22" s="320"/>
      <c r="BU22" s="321"/>
      <c r="BV22" s="671"/>
      <c r="BW22" s="320"/>
      <c r="BX22" s="321"/>
      <c r="BY22" s="671"/>
      <c r="BZ22" s="320"/>
      <c r="CA22" s="321"/>
    </row>
    <row r="23" spans="1:81" s="230" customFormat="1" ht="16.5" customHeight="1" thickBot="1" x14ac:dyDescent="0.3">
      <c r="A23" s="672" t="s">
        <v>19</v>
      </c>
      <c r="B23" s="673"/>
      <c r="C23" s="673"/>
      <c r="D23" s="673"/>
      <c r="E23" s="673"/>
      <c r="F23" s="673"/>
      <c r="G23" s="674"/>
      <c r="H23" s="675"/>
      <c r="I23" s="676"/>
      <c r="J23" s="677"/>
      <c r="K23" s="678"/>
      <c r="L23" s="678"/>
      <c r="M23" s="678"/>
      <c r="N23" s="678"/>
      <c r="O23" s="678"/>
      <c r="P23" s="678"/>
      <c r="Q23" s="678"/>
      <c r="R23" s="678"/>
      <c r="S23" s="678"/>
      <c r="T23" s="678"/>
      <c r="U23" s="678"/>
      <c r="V23" s="678"/>
      <c r="W23" s="678"/>
      <c r="X23" s="678"/>
      <c r="Y23" s="678"/>
      <c r="Z23" s="678"/>
      <c r="AA23" s="678"/>
      <c r="AB23" s="678"/>
      <c r="AC23" s="678"/>
      <c r="AD23" s="678"/>
      <c r="AE23" s="678"/>
      <c r="AF23" s="678"/>
      <c r="AG23" s="678"/>
      <c r="AH23" s="678"/>
      <c r="AI23" s="678"/>
      <c r="AJ23" s="678"/>
      <c r="AK23" s="678"/>
      <c r="AL23" s="678"/>
      <c r="AM23" s="678"/>
      <c r="AN23" s="678"/>
      <c r="AO23" s="678"/>
      <c r="AP23" s="678"/>
      <c r="AQ23" s="678"/>
      <c r="AR23" s="678"/>
      <c r="AS23" s="678"/>
      <c r="AT23" s="678"/>
      <c r="AU23" s="678"/>
      <c r="AV23" s="678"/>
      <c r="AW23" s="678"/>
      <c r="AX23" s="678"/>
      <c r="AY23" s="678"/>
      <c r="AZ23" s="678"/>
      <c r="BA23" s="678"/>
      <c r="BB23" s="678"/>
      <c r="BC23" s="678"/>
      <c r="BD23" s="678"/>
      <c r="BE23" s="678"/>
      <c r="BF23" s="678"/>
      <c r="BG23" s="678"/>
      <c r="BH23" s="678"/>
      <c r="BI23" s="678"/>
      <c r="BJ23" s="678"/>
      <c r="BK23" s="678"/>
      <c r="BL23" s="678"/>
      <c r="BM23" s="678"/>
      <c r="BN23" s="678"/>
      <c r="BO23" s="678"/>
      <c r="BP23" s="678"/>
      <c r="BQ23" s="678"/>
      <c r="BR23" s="678"/>
      <c r="BS23" s="678"/>
      <c r="BT23" s="678"/>
      <c r="BU23" s="678"/>
      <c r="BV23" s="678"/>
      <c r="BW23" s="678"/>
      <c r="BX23" s="678"/>
      <c r="BY23" s="678"/>
      <c r="BZ23" s="678"/>
      <c r="CA23" s="679"/>
    </row>
    <row r="24" spans="1:81" s="230" customFormat="1" ht="16.5" customHeight="1" x14ac:dyDescent="0.25">
      <c r="A24" s="2062" t="s">
        <v>0</v>
      </c>
      <c r="B24" s="680" t="s">
        <v>22</v>
      </c>
      <c r="C24" s="231"/>
      <c r="D24" s="681" t="s">
        <v>202</v>
      </c>
      <c r="E24" s="355"/>
      <c r="F24" s="355"/>
      <c r="G24" s="682"/>
      <c r="H24" s="683">
        <v>5.4999999999999997E-3</v>
      </c>
      <c r="I24" s="684" t="s">
        <v>2</v>
      </c>
      <c r="J24" s="685">
        <v>3.7100000000000001E-2</v>
      </c>
      <c r="K24" s="683"/>
      <c r="L24" s="684"/>
      <c r="M24" s="685"/>
      <c r="N24" s="683"/>
      <c r="O24" s="684"/>
      <c r="P24" s="685"/>
      <c r="Q24" s="683"/>
      <c r="R24" s="684"/>
      <c r="S24" s="685"/>
      <c r="T24" s="683"/>
      <c r="U24" s="684"/>
      <c r="V24" s="685"/>
      <c r="W24" s="683"/>
      <c r="X24" s="684"/>
      <c r="Y24" s="685"/>
      <c r="Z24" s="683"/>
      <c r="AA24" s="684"/>
      <c r="AB24" s="685"/>
      <c r="AC24" s="683"/>
      <c r="AD24" s="684"/>
      <c r="AE24" s="685"/>
      <c r="AF24" s="683"/>
      <c r="AG24" s="684"/>
      <c r="AH24" s="685"/>
      <c r="AI24" s="683"/>
      <c r="AJ24" s="684"/>
      <c r="AK24" s="685"/>
      <c r="AL24" s="683"/>
      <c r="AM24" s="684"/>
      <c r="AN24" s="685"/>
      <c r="AO24" s="683"/>
      <c r="AP24" s="684"/>
      <c r="AQ24" s="685"/>
      <c r="AR24" s="683"/>
      <c r="AS24" s="684"/>
      <c r="AT24" s="685"/>
      <c r="AU24" s="683"/>
      <c r="AV24" s="684"/>
      <c r="AW24" s="685"/>
      <c r="AX24" s="683"/>
      <c r="AY24" s="684"/>
      <c r="AZ24" s="685"/>
      <c r="BA24" s="683"/>
      <c r="BB24" s="684"/>
      <c r="BC24" s="685"/>
      <c r="BD24" s="683"/>
      <c r="BE24" s="684"/>
      <c r="BF24" s="685"/>
      <c r="BG24" s="683"/>
      <c r="BH24" s="684"/>
      <c r="BI24" s="685"/>
      <c r="BJ24" s="683"/>
      <c r="BK24" s="684"/>
      <c r="BL24" s="685"/>
      <c r="BM24" s="683"/>
      <c r="BN24" s="684"/>
      <c r="BO24" s="685"/>
      <c r="BP24" s="683"/>
      <c r="BQ24" s="684"/>
      <c r="BR24" s="685"/>
      <c r="BS24" s="683"/>
      <c r="BT24" s="684"/>
      <c r="BU24" s="685"/>
      <c r="BV24" s="683"/>
      <c r="BW24" s="684"/>
      <c r="BX24" s="685"/>
      <c r="BY24" s="683"/>
      <c r="BZ24" s="684"/>
      <c r="CA24" s="685"/>
    </row>
    <row r="25" spans="1:81" s="230" customFormat="1" ht="16.5" customHeight="1" x14ac:dyDescent="0.25">
      <c r="A25" s="2062"/>
      <c r="B25" s="335" t="s">
        <v>23</v>
      </c>
      <c r="C25" s="336"/>
      <c r="D25" s="686" t="s">
        <v>203</v>
      </c>
      <c r="E25" s="336"/>
      <c r="F25" s="336"/>
      <c r="G25" s="337"/>
      <c r="H25" s="687">
        <f>(SUM(I$8*I$8,J$8*J$8)/POWER($C$7,2))*$C$26</f>
        <v>4.7703761095679988E-6</v>
      </c>
      <c r="I25" s="684" t="s">
        <v>2</v>
      </c>
      <c r="J25" s="688">
        <f>($G$26/100)*(SUM(I$8*I$8,J$8*J$8)/$C$7)</f>
        <v>5.7436484313599997E-5</v>
      </c>
      <c r="K25" s="687">
        <f>(SUM(L$8*L$8,M$8*M$8)/POWER($C$7,2))*$C$26</f>
        <v>4.6853500046336005E-6</v>
      </c>
      <c r="L25" s="684" t="s">
        <v>2</v>
      </c>
      <c r="M25" s="688">
        <f>($G$26/100)*(SUM(L$8*L$8,M$8*M$8)/$C$7)</f>
        <v>5.6412749406720017E-5</v>
      </c>
      <c r="N25" s="687">
        <f>(SUM(O$8*O$8,P$8*P$8)/POWER($C$7,2))*$C$26</f>
        <v>4.7164446316543999E-6</v>
      </c>
      <c r="O25" s="684" t="s">
        <v>2</v>
      </c>
      <c r="P25" s="688">
        <f>($G$26/100)*(SUM(O$8*O$8,P$8*P$8)/$C$7)</f>
        <v>5.6787136250880001E-5</v>
      </c>
      <c r="Q25" s="687">
        <f>(SUM(R$8*R$8,S$8*S$8)/POWER($C$7,2))*$C$26</f>
        <v>4.6564296847359993E-6</v>
      </c>
      <c r="R25" s="684" t="s">
        <v>2</v>
      </c>
      <c r="S25" s="688">
        <f>($G$26/100)*(SUM(R$8*R$8,S$8*S$8)/$C$7)</f>
        <v>5.6064541747200001E-5</v>
      </c>
      <c r="T25" s="687">
        <f>(SUM(U$8*U$8,V$8*V$8)/POWER($C$7,2))*$C$26</f>
        <v>4.6015345826816008E-6</v>
      </c>
      <c r="U25" s="684" t="s">
        <v>2</v>
      </c>
      <c r="V25" s="688">
        <f>($G$26/100)*(SUM(U$8*U$8,V$8*V$8)/$C$7)</f>
        <v>5.5403591416320022E-5</v>
      </c>
      <c r="W25" s="687">
        <f>(SUM(X$8*X$8,Y$8*Y$8)/POWER($C$7,2))*$C$26</f>
        <v>4.8027339550719997E-6</v>
      </c>
      <c r="X25" s="684" t="s">
        <v>2</v>
      </c>
      <c r="Y25" s="688">
        <f>($G$26/100)*(SUM(X$8*X$8,Y$8*Y$8)/$C$7)</f>
        <v>5.7826080614400007E-5</v>
      </c>
      <c r="Z25" s="687">
        <f>(SUM(AA$8*AA$8,AB$8*AB$8)/POWER($C$7,2))*$C$26</f>
        <v>5.0080457686015994E-6</v>
      </c>
      <c r="AA25" s="684" t="s">
        <v>2</v>
      </c>
      <c r="AB25" s="688">
        <f>($G$26/100)*(SUM(AA$8*AA$8,AB$8*AB$8)/$C$7)</f>
        <v>6.0298084600319999E-5</v>
      </c>
      <c r="AC25" s="687">
        <f>(SUM(AD$8*AD$8,AE$8*AE$8)/POWER($C$7,2))*$C$26</f>
        <v>4.7446751272959979E-6</v>
      </c>
      <c r="AD25" s="684" t="s">
        <v>2</v>
      </c>
      <c r="AE25" s="688">
        <f>($G$26/100)*(SUM(AD$8*AD$8,AE$8*AE$8)/$C$7)</f>
        <v>5.7127038259199984E-5</v>
      </c>
      <c r="AF25" s="687">
        <f>(SUM(AG$8*AG$8,AH$8*AH$8)/POWER($C$7,2))*$C$26</f>
        <v>5.4715934698496005E-6</v>
      </c>
      <c r="AG25" s="684" t="s">
        <v>2</v>
      </c>
      <c r="AH25" s="688">
        <f>($G$26/100)*(SUM(AG$8*AG$8,AH$8*AH$8)/$C$7)</f>
        <v>6.5879311249920013E-5</v>
      </c>
      <c r="AI25" s="687">
        <f>(SUM(AJ$8*AJ$8,AK$8*AK$8)/POWER($C$7,2))*$C$26</f>
        <v>5.506496684032E-6</v>
      </c>
      <c r="AJ25" s="684" t="s">
        <v>2</v>
      </c>
      <c r="AK25" s="688">
        <f>($G$26/100)*(SUM(AJ$8*AJ$8,AK$8*AK$8)/$C$7)</f>
        <v>6.6299554406400017E-5</v>
      </c>
      <c r="AL25" s="687">
        <f>(SUM(AM$8*AM$8,AN$8*AN$8)/POWER($C$7,2))*$C$26</f>
        <v>5.4433262940159987E-6</v>
      </c>
      <c r="AM25" s="684" t="s">
        <v>2</v>
      </c>
      <c r="AN25" s="688">
        <f>($G$26/100)*(SUM(AM$8*AM$8,AN$8*AN$8)/$C$7)</f>
        <v>6.5538967603200006E-5</v>
      </c>
      <c r="AO25" s="687">
        <f>(SUM(AP$8*AP$8,AQ$8*AQ$8)/POWER($C$7,2))*$C$26</f>
        <v>4.6919136291839994E-6</v>
      </c>
      <c r="AP25" s="684" t="s">
        <v>2</v>
      </c>
      <c r="AQ25" s="688">
        <f>($G$26/100)*(SUM(AP$8*AP$8,AQ$8*AQ$8)/$C$7)</f>
        <v>5.6491777036800001E-5</v>
      </c>
      <c r="AR25" s="687">
        <f>(SUM(AS$8*AS$8,AT$8*AT$8)/POWER($C$7,2))*$C$26</f>
        <v>5.0383497599999981E-6</v>
      </c>
      <c r="AS25" s="684" t="s">
        <v>2</v>
      </c>
      <c r="AT25" s="688">
        <f>($G$26/100)*(SUM(AS$8*AS$8,AT$8*AT$8)/$C$7)</f>
        <v>6.0662951999999994E-5</v>
      </c>
      <c r="AU25" s="687">
        <f>(SUM(AV$8*AV$8,AW$8*AW$8)/POWER($C$7,2))*$C$26</f>
        <v>5.3111898070015992E-6</v>
      </c>
      <c r="AV25" s="684" t="s">
        <v>2</v>
      </c>
      <c r="AW25" s="688">
        <f>($G$26/100)*(SUM(AV$8*AV$8,AW$8*AW$8)/$C$7)</f>
        <v>6.3948012280320009E-5</v>
      </c>
      <c r="AX25" s="687">
        <f>(SUM(AY$8*AY$8,AZ$8*AZ$8)/POWER($C$7,2))*$C$26</f>
        <v>5.1969463909375987E-6</v>
      </c>
      <c r="AY25" s="684" t="s">
        <v>2</v>
      </c>
      <c r="AZ25" s="688">
        <f>($G$26/100)*(SUM(AY$8*AY$8,AZ$8*AZ$8)/$C$7)</f>
        <v>6.2572493867519996E-5</v>
      </c>
      <c r="BA25" s="687">
        <f>(SUM(BB$8*BB$8,BC$8*BC$8)/POWER($C$7,2))*$C$26</f>
        <v>4.2151456767999995E-6</v>
      </c>
      <c r="BB25" s="684" t="s">
        <v>2</v>
      </c>
      <c r="BC25" s="688">
        <f>($G$26/100)*(SUM(BB$8*BB$8,BC$8*BC$8)/$C$7)</f>
        <v>5.0751375359999995E-5</v>
      </c>
      <c r="BD25" s="687">
        <f>(SUM(BE$8*BE$8,BF$8*BF$8)/POWER($C$7,2))*$C$26</f>
        <v>4.7213006157823995E-6</v>
      </c>
      <c r="BE25" s="684" t="s">
        <v>2</v>
      </c>
      <c r="BF25" s="688">
        <f>($G$26/100)*(SUM(BE$8*BE$8,BF$8*BF$8)/$C$7)</f>
        <v>5.6845603476479999E-5</v>
      </c>
      <c r="BG25" s="687">
        <f>(SUM(BH$8*BH$8,BI$8*BI$8)/POWER($C$7,2))*$C$26</f>
        <v>5.1260118691839996E-6</v>
      </c>
      <c r="BH25" s="684" t="s">
        <v>2</v>
      </c>
      <c r="BI25" s="688">
        <f>($G$26/100)*(SUM(BH$8*BH$8,BI$8*BI$8)/$C$7)</f>
        <v>6.1718425036800007E-5</v>
      </c>
      <c r="BJ25" s="687">
        <f>(SUM(BK$8*BK$8,BL$8*BL$8)/POWER($C$7,2))*$C$26</f>
        <v>4.6583297186816002E-6</v>
      </c>
      <c r="BK25" s="684" t="s">
        <v>2</v>
      </c>
      <c r="BL25" s="688">
        <f>($G$26/100)*(SUM(BK$8*BK$8,BL$8*BL$8)/$C$7)</f>
        <v>5.6087418616320014E-5</v>
      </c>
      <c r="BM25" s="687">
        <f>(SUM(BN$8*BN$8,BO$8*BO$8)/POWER($C$7,2))*$C$26</f>
        <v>4.6015345826816008E-6</v>
      </c>
      <c r="BN25" s="684" t="s">
        <v>2</v>
      </c>
      <c r="BO25" s="688">
        <f>($G$26/100)*(SUM(BN$8*BN$8,BO$8*BO$8)/$C$7)</f>
        <v>5.5403591416320022E-5</v>
      </c>
      <c r="BP25" s="687">
        <f>(SUM(BQ$8*BQ$8,BR$8*BR$8)/POWER($C$7,2))*$C$26</f>
        <v>4.6024283961343998E-6</v>
      </c>
      <c r="BQ25" s="684" t="s">
        <v>2</v>
      </c>
      <c r="BR25" s="688">
        <f>($G$26/100)*(SUM(BQ$8*BQ$8,BR$8*BR$8)/$C$7)</f>
        <v>5.5414353146880013E-5</v>
      </c>
      <c r="BS25" s="687">
        <f>(SUM(BT$8*BT$8,BU$8*BU$8)/POWER($C$7,2))*$C$26</f>
        <v>4.5749402602496011E-6</v>
      </c>
      <c r="BT25" s="684" t="s">
        <v>2</v>
      </c>
      <c r="BU25" s="688">
        <f>($G$26/100)*(SUM(BT$8*BT$8,BU$8*BU$8)/$C$7)</f>
        <v>5.5083389329920016E-5</v>
      </c>
      <c r="BV25" s="687">
        <f>(SUM(BW$8*BW$8,BX$8*BX$8)/POWER($C$7,2))*$C$26</f>
        <v>4.3520193514496004E-6</v>
      </c>
      <c r="BW25" s="684" t="s">
        <v>2</v>
      </c>
      <c r="BX25" s="688">
        <f>($G$26/100)*(SUM(BW$8*BW$8,BX$8*BX$8)/$C$7)</f>
        <v>5.2399367569920008E-5</v>
      </c>
      <c r="BY25" s="687">
        <f>(SUM(BZ$8*BZ$8,CA$8*CA$8)/POWER($C$7,2))*$C$26</f>
        <v>4.4071106333695999E-6</v>
      </c>
      <c r="BZ25" s="684" t="s">
        <v>2</v>
      </c>
      <c r="CA25" s="688">
        <f>($G$26/100)*(SUM(BZ$8*BZ$8,CA$8*CA$8)/$C$7)</f>
        <v>5.3062679953920006E-5</v>
      </c>
    </row>
    <row r="26" spans="1:81" s="230" customFormat="1" ht="16.5" customHeight="1" thickBot="1" x14ac:dyDescent="0.3">
      <c r="A26" s="2062"/>
      <c r="B26" s="689" t="s">
        <v>204</v>
      </c>
      <c r="C26" s="231">
        <f>23.11/1000</f>
        <v>2.3109999999999999E-2</v>
      </c>
      <c r="D26" s="690"/>
      <c r="E26" s="2123" t="s">
        <v>55</v>
      </c>
      <c r="F26" s="2123"/>
      <c r="G26" s="260">
        <v>11.13</v>
      </c>
      <c r="H26" s="385"/>
      <c r="I26" s="263"/>
      <c r="J26" s="351"/>
      <c r="K26" s="691"/>
      <c r="L26" s="692"/>
      <c r="M26" s="693"/>
      <c r="N26" s="385"/>
      <c r="O26" s="263"/>
      <c r="P26" s="351"/>
      <c r="Q26" s="385"/>
      <c r="R26" s="263"/>
      <c r="S26" s="351"/>
      <c r="T26" s="385"/>
      <c r="U26" s="263"/>
      <c r="V26" s="351"/>
      <c r="W26" s="385"/>
      <c r="X26" s="263"/>
      <c r="Y26" s="351"/>
      <c r="Z26" s="385"/>
      <c r="AA26" s="263"/>
      <c r="AB26" s="351"/>
      <c r="AC26" s="385"/>
      <c r="AD26" s="263"/>
      <c r="AE26" s="351"/>
      <c r="AF26" s="385"/>
      <c r="AG26" s="263"/>
      <c r="AH26" s="351"/>
      <c r="AI26" s="385"/>
      <c r="AJ26" s="263"/>
      <c r="AK26" s="351"/>
      <c r="AL26" s="385"/>
      <c r="AM26" s="263"/>
      <c r="AN26" s="351"/>
      <c r="AO26" s="385"/>
      <c r="AP26" s="263"/>
      <c r="AQ26" s="351"/>
      <c r="AR26" s="385"/>
      <c r="AS26" s="263"/>
      <c r="AT26" s="351"/>
      <c r="AU26" s="385"/>
      <c r="AV26" s="263"/>
      <c r="AW26" s="351"/>
      <c r="AX26" s="385"/>
      <c r="AY26" s="263"/>
      <c r="AZ26" s="351"/>
      <c r="BA26" s="385"/>
      <c r="BB26" s="263"/>
      <c r="BC26" s="351"/>
      <c r="BD26" s="385"/>
      <c r="BE26" s="263"/>
      <c r="BF26" s="351"/>
      <c r="BG26" s="385"/>
      <c r="BH26" s="263"/>
      <c r="BI26" s="351"/>
      <c r="BJ26" s="385"/>
      <c r="BK26" s="263"/>
      <c r="BL26" s="351"/>
      <c r="BM26" s="385"/>
      <c r="BN26" s="263"/>
      <c r="BO26" s="351"/>
      <c r="BP26" s="385"/>
      <c r="BQ26" s="263"/>
      <c r="BR26" s="351"/>
      <c r="BS26" s="385"/>
      <c r="BT26" s="263"/>
      <c r="BU26" s="351"/>
      <c r="BV26" s="385"/>
      <c r="BW26" s="263"/>
      <c r="BX26" s="351"/>
      <c r="BY26" s="385"/>
      <c r="BZ26" s="263"/>
      <c r="CA26" s="351"/>
    </row>
    <row r="27" spans="1:81" s="230" customFormat="1" ht="16.5" customHeight="1" thickBot="1" x14ac:dyDescent="0.3">
      <c r="A27" s="2063"/>
      <c r="B27" s="2124" t="s">
        <v>29</v>
      </c>
      <c r="C27" s="2125"/>
      <c r="D27" s="2125"/>
      <c r="E27" s="2125"/>
      <c r="F27" s="2125"/>
      <c r="G27" s="2126"/>
      <c r="H27" s="694">
        <f>SUM(I8,H25,$H$24)</f>
        <v>3.8096770376109562E-2</v>
      </c>
      <c r="I27" s="695" t="s">
        <v>2</v>
      </c>
      <c r="J27" s="696">
        <f>SUM(J8,J25,$J$24)</f>
        <v>5.2253436484313603E-2</v>
      </c>
      <c r="K27" s="694">
        <f>SUM(L8,K25,$H$24)</f>
        <v>3.7624685350004634E-2</v>
      </c>
      <c r="L27" s="695" t="s">
        <v>2</v>
      </c>
      <c r="M27" s="696">
        <f>SUM(M8,M25,$J$24)</f>
        <v>5.250041274940672E-2</v>
      </c>
      <c r="N27" s="694">
        <f>SUM(O8,N25,$H$24)</f>
        <v>3.7864716444631651E-2</v>
      </c>
      <c r="O27" s="695" t="s">
        <v>2</v>
      </c>
      <c r="P27" s="696">
        <f>SUM(P8,P25,$J$24)</f>
        <v>5.2268787136250883E-2</v>
      </c>
      <c r="Q27" s="694">
        <f>SUM(R8,Q25,$H$24)</f>
        <v>3.7616656429684737E-2</v>
      </c>
      <c r="R27" s="695" t="s">
        <v>2</v>
      </c>
      <c r="S27" s="696">
        <f>SUM(S8,S25,$J$24)</f>
        <v>5.2260064541747198E-2</v>
      </c>
      <c r="T27" s="694">
        <f>SUM(U8,T25,$H$24)</f>
        <v>3.7384601534582687E-2</v>
      </c>
      <c r="U27" s="695" t="s">
        <v>2</v>
      </c>
      <c r="V27" s="696">
        <f>SUM(V8,V25,$J$24)</f>
        <v>5.2259403591416322E-2</v>
      </c>
      <c r="W27" s="694">
        <f>SUM(X8,W25,$H$24)</f>
        <v>3.8336802733955073E-2</v>
      </c>
      <c r="X27" s="695" t="s">
        <v>2</v>
      </c>
      <c r="Y27" s="696">
        <f>SUM(Y8,Y25,$J$24)</f>
        <v>5.2021826080614397E-2</v>
      </c>
      <c r="Z27" s="694">
        <f>SUM(AA8,Z25,$H$24)</f>
        <v>3.9065008045768602E-2</v>
      </c>
      <c r="AA27" s="695" t="s">
        <v>2</v>
      </c>
      <c r="AB27" s="696">
        <f>SUM(AB8,AB25,$J$24)</f>
        <v>5.2264298084600321E-2</v>
      </c>
      <c r="AC27" s="694">
        <f>SUM(AD8,AC25,$H$24)</f>
        <v>3.8096744675127289E-2</v>
      </c>
      <c r="AD27" s="695" t="s">
        <v>2</v>
      </c>
      <c r="AE27" s="696">
        <f>SUM(AE8,AE25,$J$24)</f>
        <v>5.2021127038259202E-2</v>
      </c>
      <c r="AF27" s="694">
        <f>SUM(AG8,AF25,$H$24)</f>
        <v>4.0985471593469852E-2</v>
      </c>
      <c r="AG27" s="695" t="s">
        <v>2</v>
      </c>
      <c r="AH27" s="696">
        <f>SUM(AH8,AH25,$J$24)</f>
        <v>5.2029879311249916E-2</v>
      </c>
      <c r="AI27" s="694">
        <f>SUM(AJ8,AI25,$H$24)</f>
        <v>4.1217506496684028E-2</v>
      </c>
      <c r="AJ27" s="695" t="s">
        <v>2</v>
      </c>
      <c r="AK27" s="696">
        <f>SUM(AK8,AK25,$J$24)</f>
        <v>5.1790299554406401E-2</v>
      </c>
      <c r="AL27" s="694">
        <f>SUM(AM8,AL25,$H$24)</f>
        <v>4.0977443326294008E-2</v>
      </c>
      <c r="AM27" s="695" t="s">
        <v>2</v>
      </c>
      <c r="AN27" s="696">
        <f>SUM(AN8,AN25,$J$24)</f>
        <v>5.1789538967603202E-2</v>
      </c>
      <c r="AO27" s="694">
        <f>SUM(AP8,AO25,$H$24)</f>
        <v>3.8096691913629181E-2</v>
      </c>
      <c r="AP27" s="695" t="s">
        <v>2</v>
      </c>
      <c r="AQ27" s="696">
        <f>SUM(AQ8,AQ25,$J$24)</f>
        <v>5.1532491777036803E-2</v>
      </c>
      <c r="AR27" s="694">
        <f>SUM(AS8,AR25,$H$24)</f>
        <v>3.9297038349759991E-2</v>
      </c>
      <c r="AS27" s="695" t="s">
        <v>2</v>
      </c>
      <c r="AT27" s="696">
        <f>SUM(AT8,AT25,$J$24)</f>
        <v>5.2016662951999998E-2</v>
      </c>
      <c r="AU27" s="694">
        <f>SUM(AV8,AU25,$H$24)</f>
        <v>4.0265311189807002E-2</v>
      </c>
      <c r="AV27" s="695" t="s">
        <v>2</v>
      </c>
      <c r="AW27" s="696">
        <f>SUM(AW8,AW25,$J$24)</f>
        <v>5.2267948012280324E-2</v>
      </c>
      <c r="AX27" s="694">
        <f>SUM(AY8,AX25,$H$24)</f>
        <v>4.002519694639093E-2</v>
      </c>
      <c r="AY27" s="695" t="s">
        <v>2</v>
      </c>
      <c r="AZ27" s="696">
        <f>SUM(AZ8,AZ25,$J$24)</f>
        <v>5.1786572493867519E-2</v>
      </c>
      <c r="BA27" s="694">
        <f>SUM(BB8,BA25,$H$24)</f>
        <v>3.5936215145676798E-2</v>
      </c>
      <c r="BB27" s="695" t="s">
        <v>2</v>
      </c>
      <c r="BC27" s="696">
        <f>SUM(BC8,BC25,$J$24)</f>
        <v>5.1774751375360001E-2</v>
      </c>
      <c r="BD27" s="694">
        <f>SUM(BE8,BD25,$H$24)</f>
        <v>3.8104721300615776E-2</v>
      </c>
      <c r="BE27" s="695" t="s">
        <v>2</v>
      </c>
      <c r="BF27" s="696">
        <f>SUM(BF8,BF25,$J$24)</f>
        <v>5.1788845603476484E-2</v>
      </c>
      <c r="BG27" s="694">
        <f>SUM(BH8,BG25,$H$24)</f>
        <v>3.9537126011869185E-2</v>
      </c>
      <c r="BH27" s="695" t="s">
        <v>2</v>
      </c>
      <c r="BI27" s="696">
        <f>SUM(BI8,BI25,$J$24)</f>
        <v>5.22657184250368E-2</v>
      </c>
      <c r="BJ27" s="694">
        <f>SUM(BK8,BJ25,$H$24)</f>
        <v>3.7624658329718681E-2</v>
      </c>
      <c r="BK27" s="695" t="s">
        <v>2</v>
      </c>
      <c r="BL27" s="696">
        <f>SUM(BL8,BL25,$J$24)</f>
        <v>5.2260087418616319E-2</v>
      </c>
      <c r="BM27" s="694">
        <f>SUM(BN8,BM25,$H$24)</f>
        <v>3.7384601534582687E-2</v>
      </c>
      <c r="BN27" s="695" t="s">
        <v>2</v>
      </c>
      <c r="BO27" s="696">
        <f>SUM(BO8,BO25,$J$24)</f>
        <v>5.2259403591416322E-2</v>
      </c>
      <c r="BP27" s="694">
        <f>SUM(BQ8,BP25,$H$24)</f>
        <v>3.7384602428396134E-2</v>
      </c>
      <c r="BQ27" s="695" t="s">
        <v>2</v>
      </c>
      <c r="BR27" s="696">
        <f>SUM(BR8,BR25,$J$24)</f>
        <v>5.2267414353146885E-2</v>
      </c>
      <c r="BS27" s="694">
        <f>SUM(BT8,BS25,$H$24)</f>
        <v>3.7384574940260255E-2</v>
      </c>
      <c r="BT27" s="695" t="s">
        <v>2</v>
      </c>
      <c r="BU27" s="696">
        <f>SUM(BU8,BU25,$J$24)</f>
        <v>5.2019083389329923E-2</v>
      </c>
      <c r="BV27" s="694">
        <f>SUM(BW8,BV25,$H$24)</f>
        <v>3.6424352019351451E-2</v>
      </c>
      <c r="BW27" s="695" t="s">
        <v>2</v>
      </c>
      <c r="BX27" s="696">
        <f>SUM(BX8,BX25,$J$24)</f>
        <v>5.2016399367569924E-2</v>
      </c>
      <c r="BY27" s="694">
        <f>SUM(BZ8,BY25,$H$24)</f>
        <v>3.6664407110633367E-2</v>
      </c>
      <c r="BZ27" s="695" t="s">
        <v>2</v>
      </c>
      <c r="CA27" s="696">
        <f>SUM(CA8,CA25,$J$24)</f>
        <v>5.2017062679953922E-2</v>
      </c>
    </row>
    <row r="28" spans="1:81" s="230" customFormat="1" ht="16.5" customHeight="1" x14ac:dyDescent="0.25">
      <c r="A28" s="2104" t="s">
        <v>20</v>
      </c>
      <c r="B28" s="2105"/>
      <c r="C28" s="2105"/>
      <c r="D28" s="2105"/>
      <c r="E28" s="2105"/>
      <c r="F28" s="2105"/>
      <c r="G28" s="2133"/>
      <c r="H28" s="697"/>
      <c r="I28" s="698"/>
      <c r="J28" s="699"/>
      <c r="K28" s="697"/>
      <c r="L28" s="698"/>
      <c r="M28" s="699"/>
      <c r="N28" s="697"/>
      <c r="O28" s="698"/>
      <c r="P28" s="699"/>
      <c r="Q28" s="697"/>
      <c r="R28" s="698"/>
      <c r="S28" s="699"/>
      <c r="T28" s="697"/>
      <c r="U28" s="698"/>
      <c r="V28" s="699"/>
      <c r="W28" s="697"/>
      <c r="X28" s="698"/>
      <c r="Y28" s="699"/>
      <c r="Z28" s="697"/>
      <c r="AA28" s="698"/>
      <c r="AB28" s="699"/>
      <c r="AC28" s="697"/>
      <c r="AD28" s="698"/>
      <c r="AE28" s="699"/>
      <c r="AF28" s="697"/>
      <c r="AG28" s="698"/>
      <c r="AH28" s="699"/>
      <c r="AI28" s="697"/>
      <c r="AJ28" s="698"/>
      <c r="AK28" s="699"/>
      <c r="AL28" s="697"/>
      <c r="AM28" s="698"/>
      <c r="AN28" s="699"/>
      <c r="AO28" s="697"/>
      <c r="AP28" s="698"/>
      <c r="AQ28" s="699"/>
      <c r="AR28" s="697"/>
      <c r="AS28" s="698"/>
      <c r="AT28" s="699"/>
      <c r="AU28" s="697"/>
      <c r="AV28" s="698"/>
      <c r="AW28" s="699"/>
      <c r="AX28" s="697"/>
      <c r="AY28" s="698"/>
      <c r="AZ28" s="699"/>
      <c r="BA28" s="697"/>
      <c r="BB28" s="698"/>
      <c r="BC28" s="699"/>
      <c r="BD28" s="697"/>
      <c r="BE28" s="698"/>
      <c r="BF28" s="699"/>
      <c r="BG28" s="697"/>
      <c r="BH28" s="698"/>
      <c r="BI28" s="699"/>
      <c r="BJ28" s="697"/>
      <c r="BK28" s="698"/>
      <c r="BL28" s="699"/>
      <c r="BM28" s="697"/>
      <c r="BN28" s="698"/>
      <c r="BO28" s="699"/>
      <c r="BP28" s="697"/>
      <c r="BQ28" s="698"/>
      <c r="BR28" s="699"/>
      <c r="BS28" s="697"/>
      <c r="BT28" s="698"/>
      <c r="BU28" s="699"/>
      <c r="BV28" s="697"/>
      <c r="BW28" s="698"/>
      <c r="BX28" s="699"/>
      <c r="BY28" s="697"/>
      <c r="BZ28" s="698"/>
      <c r="CA28" s="699"/>
    </row>
    <row r="29" spans="1:81" s="230" customFormat="1" ht="16.5" customHeight="1" thickBot="1" x14ac:dyDescent="0.3">
      <c r="A29" s="367" t="s">
        <v>21</v>
      </c>
      <c r="B29" s="368"/>
      <c r="C29" s="369"/>
      <c r="D29" s="368"/>
      <c r="E29" s="263"/>
      <c r="F29" s="368" t="s">
        <v>25</v>
      </c>
      <c r="G29" s="262"/>
      <c r="H29" s="700">
        <f>H27</f>
        <v>3.8096770376109562E-2</v>
      </c>
      <c r="I29" s="701" t="s">
        <v>2</v>
      </c>
      <c r="J29" s="702">
        <f>J27</f>
        <v>5.2253436484313603E-2</v>
      </c>
      <c r="K29" s="700">
        <f>K27</f>
        <v>3.7624685350004634E-2</v>
      </c>
      <c r="L29" s="701" t="s">
        <v>2</v>
      </c>
      <c r="M29" s="702">
        <f>M27</f>
        <v>5.250041274940672E-2</v>
      </c>
      <c r="N29" s="700">
        <f>N27</f>
        <v>3.7864716444631651E-2</v>
      </c>
      <c r="O29" s="701" t="s">
        <v>2</v>
      </c>
      <c r="P29" s="702">
        <f>P27</f>
        <v>5.2268787136250883E-2</v>
      </c>
      <c r="Q29" s="700">
        <f>Q27</f>
        <v>3.7616656429684737E-2</v>
      </c>
      <c r="R29" s="701" t="s">
        <v>2</v>
      </c>
      <c r="S29" s="702">
        <f>S27</f>
        <v>5.2260064541747198E-2</v>
      </c>
      <c r="T29" s="700">
        <f>T27</f>
        <v>3.7384601534582687E-2</v>
      </c>
      <c r="U29" s="701" t="s">
        <v>2</v>
      </c>
      <c r="V29" s="702">
        <f>V27</f>
        <v>5.2259403591416322E-2</v>
      </c>
      <c r="W29" s="700">
        <f>W27</f>
        <v>3.8336802733955073E-2</v>
      </c>
      <c r="X29" s="701" t="s">
        <v>2</v>
      </c>
      <c r="Y29" s="702">
        <f>Y27</f>
        <v>5.2021826080614397E-2</v>
      </c>
      <c r="Z29" s="700">
        <f>Z27</f>
        <v>3.9065008045768602E-2</v>
      </c>
      <c r="AA29" s="701" t="s">
        <v>2</v>
      </c>
      <c r="AB29" s="702">
        <f>AB27</f>
        <v>5.2264298084600321E-2</v>
      </c>
      <c r="AC29" s="700">
        <f>AC27</f>
        <v>3.8096744675127289E-2</v>
      </c>
      <c r="AD29" s="701" t="s">
        <v>2</v>
      </c>
      <c r="AE29" s="702">
        <f>AE27</f>
        <v>5.2021127038259202E-2</v>
      </c>
      <c r="AF29" s="700">
        <f>AF27</f>
        <v>4.0985471593469852E-2</v>
      </c>
      <c r="AG29" s="701" t="s">
        <v>2</v>
      </c>
      <c r="AH29" s="702">
        <f>AH27</f>
        <v>5.2029879311249916E-2</v>
      </c>
      <c r="AI29" s="700">
        <f>AI27</f>
        <v>4.1217506496684028E-2</v>
      </c>
      <c r="AJ29" s="701" t="s">
        <v>2</v>
      </c>
      <c r="AK29" s="702">
        <f>AK27</f>
        <v>5.1790299554406401E-2</v>
      </c>
      <c r="AL29" s="700">
        <f>AL27</f>
        <v>4.0977443326294008E-2</v>
      </c>
      <c r="AM29" s="701" t="s">
        <v>2</v>
      </c>
      <c r="AN29" s="702">
        <f>AN27</f>
        <v>5.1789538967603202E-2</v>
      </c>
      <c r="AO29" s="700">
        <f>AO27</f>
        <v>3.8096691913629181E-2</v>
      </c>
      <c r="AP29" s="701" t="s">
        <v>2</v>
      </c>
      <c r="AQ29" s="702">
        <f>AQ27</f>
        <v>5.1532491777036803E-2</v>
      </c>
      <c r="AR29" s="700">
        <f>AR27</f>
        <v>3.9297038349759991E-2</v>
      </c>
      <c r="AS29" s="701" t="s">
        <v>2</v>
      </c>
      <c r="AT29" s="702">
        <f>AT27</f>
        <v>5.2016662951999998E-2</v>
      </c>
      <c r="AU29" s="700">
        <f>AU27</f>
        <v>4.0265311189807002E-2</v>
      </c>
      <c r="AV29" s="701" t="s">
        <v>2</v>
      </c>
      <c r="AW29" s="702">
        <f>AW27</f>
        <v>5.2267948012280324E-2</v>
      </c>
      <c r="AX29" s="700">
        <f>AX27</f>
        <v>4.002519694639093E-2</v>
      </c>
      <c r="AY29" s="701" t="s">
        <v>2</v>
      </c>
      <c r="AZ29" s="702">
        <f>AZ27</f>
        <v>5.1786572493867519E-2</v>
      </c>
      <c r="BA29" s="700">
        <f>BA27</f>
        <v>3.5936215145676798E-2</v>
      </c>
      <c r="BB29" s="701" t="s">
        <v>2</v>
      </c>
      <c r="BC29" s="702">
        <f>BC27</f>
        <v>5.1774751375360001E-2</v>
      </c>
      <c r="BD29" s="700">
        <f>BD27</f>
        <v>3.8104721300615776E-2</v>
      </c>
      <c r="BE29" s="701" t="s">
        <v>2</v>
      </c>
      <c r="BF29" s="702">
        <f>BF27</f>
        <v>5.1788845603476484E-2</v>
      </c>
      <c r="BG29" s="700">
        <f>BG27</f>
        <v>3.9537126011869185E-2</v>
      </c>
      <c r="BH29" s="701" t="s">
        <v>2</v>
      </c>
      <c r="BI29" s="702">
        <f>BI27</f>
        <v>5.22657184250368E-2</v>
      </c>
      <c r="BJ29" s="700">
        <f>BJ27</f>
        <v>3.7624658329718681E-2</v>
      </c>
      <c r="BK29" s="701" t="s">
        <v>2</v>
      </c>
      <c r="BL29" s="702">
        <f>BL27</f>
        <v>5.2260087418616319E-2</v>
      </c>
      <c r="BM29" s="700">
        <f>BM27</f>
        <v>3.7384601534582687E-2</v>
      </c>
      <c r="BN29" s="701" t="s">
        <v>2</v>
      </c>
      <c r="BO29" s="702">
        <f>BO27</f>
        <v>5.2259403591416322E-2</v>
      </c>
      <c r="BP29" s="700">
        <f>BP27</f>
        <v>3.7384602428396134E-2</v>
      </c>
      <c r="BQ29" s="701" t="s">
        <v>2</v>
      </c>
      <c r="BR29" s="702">
        <f>BR27</f>
        <v>5.2267414353146885E-2</v>
      </c>
      <c r="BS29" s="700">
        <f>BS27</f>
        <v>3.7384574940260255E-2</v>
      </c>
      <c r="BT29" s="701" t="s">
        <v>2</v>
      </c>
      <c r="BU29" s="702">
        <f>BU27</f>
        <v>5.2019083389329923E-2</v>
      </c>
      <c r="BV29" s="700">
        <f>BV27</f>
        <v>3.6424352019351451E-2</v>
      </c>
      <c r="BW29" s="701" t="s">
        <v>2</v>
      </c>
      <c r="BX29" s="702">
        <f>BX27</f>
        <v>5.2016399367569924E-2</v>
      </c>
      <c r="BY29" s="700">
        <f>BY27</f>
        <v>3.6664407110633367E-2</v>
      </c>
      <c r="BZ29" s="701" t="s">
        <v>2</v>
      </c>
      <c r="CA29" s="702">
        <f>CA27</f>
        <v>5.2017062679953922E-2</v>
      </c>
    </row>
    <row r="30" spans="1:81" s="230" customFormat="1" ht="16.5" hidden="1" customHeight="1" x14ac:dyDescent="0.25">
      <c r="A30" s="703" t="s">
        <v>107</v>
      </c>
      <c r="B30" s="363"/>
      <c r="C30" s="363"/>
      <c r="D30" s="363"/>
      <c r="E30" s="363"/>
      <c r="F30" s="363"/>
      <c r="G30" s="363"/>
      <c r="H30" s="363"/>
      <c r="I30" s="374">
        <f>J29/H29</f>
        <v>1.3715975388055905</v>
      </c>
      <c r="J30" s="363"/>
      <c r="K30" s="363"/>
      <c r="L30" s="374">
        <f>M29/K29</f>
        <v>1.3953714764926335</v>
      </c>
      <c r="M30" s="363"/>
      <c r="N30" s="363"/>
      <c r="O30" s="374">
        <f>P29/N29</f>
        <v>1.3804087827432125</v>
      </c>
      <c r="P30" s="363"/>
      <c r="Q30" s="363"/>
      <c r="R30" s="374">
        <f>S29/Q29</f>
        <v>1.3892798962458235</v>
      </c>
      <c r="S30" s="363"/>
      <c r="T30" s="363"/>
      <c r="U30" s="374">
        <f>V29/T29</f>
        <v>1.3978857991323961</v>
      </c>
      <c r="V30" s="363"/>
      <c r="W30" s="363"/>
      <c r="X30" s="374">
        <f>Y29/W29</f>
        <v>1.3569683012333849</v>
      </c>
      <c r="Y30" s="363"/>
      <c r="Z30" s="363"/>
      <c r="AA30" s="374">
        <f>AB29/Z29</f>
        <v>1.3378801310719663</v>
      </c>
      <c r="AB30" s="363"/>
      <c r="AC30" s="363"/>
      <c r="AD30" s="374">
        <f>AE29/AC29</f>
        <v>1.365500582316759</v>
      </c>
      <c r="AE30" s="363"/>
      <c r="AF30" s="363"/>
      <c r="AG30" s="374">
        <f>AH29/AF29</f>
        <v>1.2694712855162011</v>
      </c>
      <c r="AH30" s="363"/>
      <c r="AI30" s="363"/>
      <c r="AJ30" s="374">
        <f>AK29/AI29</f>
        <v>1.2565121948503353</v>
      </c>
      <c r="AK30" s="363"/>
      <c r="AL30" s="363"/>
      <c r="AM30" s="374">
        <f>AN29/AL29</f>
        <v>1.2638548128836382</v>
      </c>
      <c r="AN30" s="363"/>
      <c r="AO30" s="363"/>
      <c r="AP30" s="374">
        <f>AQ29/AO29</f>
        <v>1.3526762873235441</v>
      </c>
      <c r="AQ30" s="363"/>
    </row>
    <row r="31" spans="1:81" s="704" customFormat="1" ht="16.5" hidden="1" customHeight="1" x14ac:dyDescent="0.25">
      <c r="A31" s="703" t="s">
        <v>205</v>
      </c>
      <c r="C31" s="703"/>
      <c r="D31" s="703"/>
      <c r="E31" s="703"/>
      <c r="F31" s="703"/>
      <c r="T31" s="705"/>
      <c r="U31" s="706"/>
    </row>
    <row r="32" spans="1:81" ht="16.5" hidden="1" x14ac:dyDescent="0.25">
      <c r="A32" s="703" t="s">
        <v>107</v>
      </c>
      <c r="B32" s="363"/>
      <c r="C32" s="363"/>
      <c r="D32" s="363"/>
      <c r="E32" s="363"/>
      <c r="F32" s="363"/>
      <c r="H32" s="363"/>
      <c r="I32" s="374">
        <f>AT29/AR29</f>
        <v>1.323678962496615</v>
      </c>
      <c r="J32" s="363"/>
      <c r="K32" s="363"/>
      <c r="L32" s="374">
        <f>AW29/AU29</f>
        <v>1.2980887634493619</v>
      </c>
      <c r="M32" s="363"/>
      <c r="N32" s="363"/>
      <c r="O32" s="374">
        <f>AZ29/AX29</f>
        <v>1.2938492860692123</v>
      </c>
      <c r="P32" s="363"/>
      <c r="Q32" s="363"/>
      <c r="R32" s="374">
        <f>BC29/BA29</f>
        <v>1.4407402439427073</v>
      </c>
      <c r="S32" s="363"/>
      <c r="T32" s="363"/>
      <c r="U32" s="374">
        <f>BF29/BD29</f>
        <v>1.3591188660036091</v>
      </c>
      <c r="V32" s="363"/>
      <c r="W32" s="363"/>
      <c r="X32" s="374">
        <f>BI29/BG29</f>
        <v>1.3219402545684895</v>
      </c>
      <c r="Y32" s="363"/>
      <c r="Z32" s="363"/>
      <c r="AA32" s="374">
        <f>BL29/BJ29</f>
        <v>1.3889850363727427</v>
      </c>
      <c r="AB32" s="363"/>
      <c r="AC32" s="363"/>
      <c r="AD32" s="374">
        <f>BO29/BM29</f>
        <v>1.3978857991323961</v>
      </c>
      <c r="AE32" s="363"/>
      <c r="AF32" s="363"/>
      <c r="AG32" s="374">
        <f>BR29/BP29</f>
        <v>1.3981000454199359</v>
      </c>
      <c r="AH32" s="363"/>
      <c r="AI32" s="363"/>
      <c r="AJ32" s="374">
        <f>BU29/BS29</f>
        <v>1.3914584684313061</v>
      </c>
      <c r="AK32" s="363"/>
      <c r="AL32" s="363"/>
      <c r="AM32" s="374">
        <f>BX29/BV29</f>
        <v>1.428066567661513</v>
      </c>
      <c r="AN32" s="363"/>
      <c r="AO32" s="363"/>
      <c r="AP32" s="374">
        <f>CA29/BY29</f>
        <v>1.4187345924616901</v>
      </c>
      <c r="AQ32" s="363"/>
    </row>
    <row r="33" spans="1:43" ht="16.5" hidden="1" x14ac:dyDescent="0.25">
      <c r="A33" s="703" t="s">
        <v>205</v>
      </c>
      <c r="B33" s="703"/>
      <c r="C33" s="703"/>
      <c r="D33" s="703"/>
      <c r="E33" s="703"/>
      <c r="F33" s="703"/>
      <c r="G33" s="704"/>
      <c r="H33" s="704"/>
      <c r="I33" s="704"/>
      <c r="J33" s="704"/>
      <c r="K33" s="704"/>
      <c r="L33" s="704"/>
      <c r="M33" s="704"/>
      <c r="N33" s="704"/>
      <c r="O33" s="704"/>
      <c r="P33" s="704"/>
      <c r="Q33" s="704"/>
      <c r="R33" s="704"/>
      <c r="S33" s="704"/>
      <c r="T33" s="704"/>
      <c r="U33" s="704"/>
      <c r="V33" s="704"/>
      <c r="W33" s="704"/>
      <c r="X33" s="704"/>
      <c r="Y33" s="704"/>
      <c r="Z33" s="704"/>
      <c r="AA33" s="704"/>
      <c r="AB33" s="704"/>
      <c r="AC33" s="704"/>
      <c r="AD33" s="704"/>
      <c r="AE33" s="704"/>
      <c r="AF33" s="704"/>
      <c r="AG33" s="704"/>
      <c r="AH33" s="704"/>
      <c r="AI33" s="704"/>
      <c r="AJ33" s="704"/>
      <c r="AK33" s="704"/>
      <c r="AL33" s="704"/>
      <c r="AM33" s="704"/>
      <c r="AN33" s="704"/>
      <c r="AO33" s="704"/>
      <c r="AP33" s="704"/>
      <c r="AQ33" s="704"/>
    </row>
    <row r="35" spans="1:43" x14ac:dyDescent="0.2">
      <c r="C35" s="527"/>
      <c r="D35" s="527"/>
      <c r="E35" s="527"/>
      <c r="F35" s="527"/>
      <c r="G35" s="527"/>
      <c r="H35" s="527"/>
      <c r="I35" s="527"/>
    </row>
  </sheetData>
  <mergeCells count="53">
    <mergeCell ref="E16:F16"/>
    <mergeCell ref="A28:G28"/>
    <mergeCell ref="A18:C18"/>
    <mergeCell ref="D18:E18"/>
    <mergeCell ref="F18:G18"/>
    <mergeCell ref="A19:C19"/>
    <mergeCell ref="A20:G20"/>
    <mergeCell ref="A24:A27"/>
    <mergeCell ref="E26:F26"/>
    <mergeCell ref="B27:G27"/>
    <mergeCell ref="A12:B13"/>
    <mergeCell ref="C12:C13"/>
    <mergeCell ref="A14:C15"/>
    <mergeCell ref="F14:G14"/>
    <mergeCell ref="F15:G15"/>
    <mergeCell ref="A7:B11"/>
    <mergeCell ref="C7:C11"/>
    <mergeCell ref="D7:E8"/>
    <mergeCell ref="F7:G7"/>
    <mergeCell ref="F8:G8"/>
    <mergeCell ref="D9:G9"/>
    <mergeCell ref="D10:E11"/>
    <mergeCell ref="F10:G10"/>
    <mergeCell ref="F11:G11"/>
    <mergeCell ref="BV4:BX4"/>
    <mergeCell ref="BY4:CA4"/>
    <mergeCell ref="A5:B6"/>
    <mergeCell ref="C5:C6"/>
    <mergeCell ref="D5:G6"/>
    <mergeCell ref="AX4:AZ4"/>
    <mergeCell ref="BA4:BC4"/>
    <mergeCell ref="BD4:BF4"/>
    <mergeCell ref="AO4:AQ4"/>
    <mergeCell ref="AR4:AT4"/>
    <mergeCell ref="AU4:AW4"/>
    <mergeCell ref="BP4:BR4"/>
    <mergeCell ref="BS4:BU4"/>
    <mergeCell ref="BZ3:CA3"/>
    <mergeCell ref="A4:G4"/>
    <mergeCell ref="H4:J4"/>
    <mergeCell ref="K4:M4"/>
    <mergeCell ref="N4:P4"/>
    <mergeCell ref="Q4:S4"/>
    <mergeCell ref="T4:V4"/>
    <mergeCell ref="W4:Y4"/>
    <mergeCell ref="Z4:AB4"/>
    <mergeCell ref="AC4:AE4"/>
    <mergeCell ref="BG4:BI4"/>
    <mergeCell ref="BJ4:BL4"/>
    <mergeCell ref="BM4:BO4"/>
    <mergeCell ref="AF4:AH4"/>
    <mergeCell ref="AI4:AK4"/>
    <mergeCell ref="AL4:AN4"/>
  </mergeCells>
  <conditionalFormatting sqref="H12:CA12">
    <cfRule type="cellIs" dxfId="557" priority="49" stopIfTrue="1" operator="lessThan">
      <formula>0</formula>
    </cfRule>
  </conditionalFormatting>
  <conditionalFormatting sqref="I20:J20">
    <cfRule type="cellIs" dxfId="556" priority="48" stopIfTrue="1" operator="lessThan">
      <formula>0</formula>
    </cfRule>
  </conditionalFormatting>
  <conditionalFormatting sqref="L20:M20">
    <cfRule type="cellIs" dxfId="555" priority="47" stopIfTrue="1" operator="lessThan">
      <formula>0</formula>
    </cfRule>
  </conditionalFormatting>
  <conditionalFormatting sqref="O20:P20">
    <cfRule type="cellIs" dxfId="554" priority="46" stopIfTrue="1" operator="lessThan">
      <formula>0</formula>
    </cfRule>
  </conditionalFormatting>
  <conditionalFormatting sqref="R20:S20">
    <cfRule type="cellIs" dxfId="553" priority="45" stopIfTrue="1" operator="lessThan">
      <formula>0</formula>
    </cfRule>
  </conditionalFormatting>
  <conditionalFormatting sqref="U20:V20">
    <cfRule type="cellIs" dxfId="552" priority="44" stopIfTrue="1" operator="lessThan">
      <formula>0</formula>
    </cfRule>
  </conditionalFormatting>
  <conditionalFormatting sqref="X20:Y20">
    <cfRule type="cellIs" dxfId="551" priority="43" stopIfTrue="1" operator="lessThan">
      <formula>0</formula>
    </cfRule>
  </conditionalFormatting>
  <conditionalFormatting sqref="AA20:AB20">
    <cfRule type="cellIs" dxfId="550" priority="42" stopIfTrue="1" operator="lessThan">
      <formula>0</formula>
    </cfRule>
  </conditionalFormatting>
  <conditionalFormatting sqref="AD20:AE20">
    <cfRule type="cellIs" dxfId="549" priority="41" stopIfTrue="1" operator="lessThan">
      <formula>0</formula>
    </cfRule>
  </conditionalFormatting>
  <conditionalFormatting sqref="AG20:AH20">
    <cfRule type="cellIs" dxfId="548" priority="40" stopIfTrue="1" operator="lessThan">
      <formula>0</formula>
    </cfRule>
  </conditionalFormatting>
  <conditionalFormatting sqref="AJ20:AK20">
    <cfRule type="cellIs" dxfId="547" priority="39" stopIfTrue="1" operator="lessThan">
      <formula>0</formula>
    </cfRule>
  </conditionalFormatting>
  <conditionalFormatting sqref="AM20:AN20">
    <cfRule type="cellIs" dxfId="546" priority="38" stopIfTrue="1" operator="lessThan">
      <formula>0</formula>
    </cfRule>
  </conditionalFormatting>
  <conditionalFormatting sqref="AP20:AQ20">
    <cfRule type="cellIs" dxfId="545" priority="37" stopIfTrue="1" operator="lessThan">
      <formula>0</formula>
    </cfRule>
  </conditionalFormatting>
  <conditionalFormatting sqref="AS20:AT20">
    <cfRule type="cellIs" dxfId="544" priority="36" stopIfTrue="1" operator="lessThan">
      <formula>0</formula>
    </cfRule>
  </conditionalFormatting>
  <conditionalFormatting sqref="AV20:AW20">
    <cfRule type="cellIs" dxfId="543" priority="35" stopIfTrue="1" operator="lessThan">
      <formula>0</formula>
    </cfRule>
  </conditionalFormatting>
  <conditionalFormatting sqref="AY20:AZ20">
    <cfRule type="cellIs" dxfId="542" priority="34" stopIfTrue="1" operator="lessThan">
      <formula>0</formula>
    </cfRule>
  </conditionalFormatting>
  <conditionalFormatting sqref="BB20:BC20">
    <cfRule type="cellIs" dxfId="541" priority="33" stopIfTrue="1" operator="lessThan">
      <formula>0</formula>
    </cfRule>
  </conditionalFormatting>
  <conditionalFormatting sqref="BE20:BF20">
    <cfRule type="cellIs" dxfId="540" priority="32" stopIfTrue="1" operator="lessThan">
      <formula>0</formula>
    </cfRule>
  </conditionalFormatting>
  <conditionalFormatting sqref="BH20:BI20">
    <cfRule type="cellIs" dxfId="539" priority="31" stopIfTrue="1" operator="lessThan">
      <formula>0</formula>
    </cfRule>
  </conditionalFormatting>
  <conditionalFormatting sqref="BK20:BL20">
    <cfRule type="cellIs" dxfId="538" priority="30" stopIfTrue="1" operator="lessThan">
      <formula>0</formula>
    </cfRule>
  </conditionalFormatting>
  <conditionalFormatting sqref="BN20:BO20">
    <cfRule type="cellIs" dxfId="537" priority="29" stopIfTrue="1" operator="lessThan">
      <formula>0</formula>
    </cfRule>
  </conditionalFormatting>
  <conditionalFormatting sqref="BQ20:BR20">
    <cfRule type="cellIs" dxfId="536" priority="28" stopIfTrue="1" operator="lessThan">
      <formula>0</formula>
    </cfRule>
  </conditionalFormatting>
  <conditionalFormatting sqref="BT20:BU20">
    <cfRule type="cellIs" dxfId="535" priority="27" stopIfTrue="1" operator="lessThan">
      <formula>0</formula>
    </cfRule>
  </conditionalFormatting>
  <conditionalFormatting sqref="BW20:BX20">
    <cfRule type="cellIs" dxfId="534" priority="26" stopIfTrue="1" operator="lessThan">
      <formula>0</formula>
    </cfRule>
  </conditionalFormatting>
  <conditionalFormatting sqref="BZ20:CA20">
    <cfRule type="cellIs" dxfId="533" priority="25" stopIfTrue="1" operator="lessThan">
      <formula>0</formula>
    </cfRule>
  </conditionalFormatting>
  <conditionalFormatting sqref="I8:J8">
    <cfRule type="cellIs" dxfId="532" priority="24" stopIfTrue="1" operator="lessThan">
      <formula>0</formula>
    </cfRule>
  </conditionalFormatting>
  <conditionalFormatting sqref="L8:M8">
    <cfRule type="cellIs" dxfId="531" priority="23" stopIfTrue="1" operator="lessThan">
      <formula>0</formula>
    </cfRule>
  </conditionalFormatting>
  <conditionalFormatting sqref="O8:P8">
    <cfRule type="cellIs" dxfId="530" priority="22" stopIfTrue="1" operator="lessThan">
      <formula>0</formula>
    </cfRule>
  </conditionalFormatting>
  <conditionalFormatting sqref="R8:S8">
    <cfRule type="cellIs" dxfId="529" priority="21" stopIfTrue="1" operator="lessThan">
      <formula>0</formula>
    </cfRule>
  </conditionalFormatting>
  <conditionalFormatting sqref="U8:V8">
    <cfRule type="cellIs" dxfId="528" priority="20" stopIfTrue="1" operator="lessThan">
      <formula>0</formula>
    </cfRule>
  </conditionalFormatting>
  <conditionalFormatting sqref="X8:Y8">
    <cfRule type="cellIs" dxfId="527" priority="19" stopIfTrue="1" operator="lessThan">
      <formula>0</formula>
    </cfRule>
  </conditionalFormatting>
  <conditionalFormatting sqref="AA8:AB8">
    <cfRule type="cellIs" dxfId="526" priority="18" stopIfTrue="1" operator="lessThan">
      <formula>0</formula>
    </cfRule>
  </conditionalFormatting>
  <conditionalFormatting sqref="AD8:AE8">
    <cfRule type="cellIs" dxfId="525" priority="17" stopIfTrue="1" operator="lessThan">
      <formula>0</formula>
    </cfRule>
  </conditionalFormatting>
  <conditionalFormatting sqref="AG8:AH8">
    <cfRule type="cellIs" dxfId="524" priority="16" stopIfTrue="1" operator="lessThan">
      <formula>0</formula>
    </cfRule>
  </conditionalFormatting>
  <conditionalFormatting sqref="AJ8:AK8">
    <cfRule type="cellIs" dxfId="523" priority="15" stopIfTrue="1" operator="lessThan">
      <formula>0</formula>
    </cfRule>
  </conditionalFormatting>
  <conditionalFormatting sqref="AM8:AN8">
    <cfRule type="cellIs" dxfId="522" priority="14" stopIfTrue="1" operator="lessThan">
      <formula>0</formula>
    </cfRule>
  </conditionalFormatting>
  <conditionalFormatting sqref="AP8:AQ8">
    <cfRule type="cellIs" dxfId="521" priority="13" stopIfTrue="1" operator="lessThan">
      <formula>0</formula>
    </cfRule>
  </conditionalFormatting>
  <conditionalFormatting sqref="AS8:AT8">
    <cfRule type="cellIs" dxfId="520" priority="12" stopIfTrue="1" operator="lessThan">
      <formula>0</formula>
    </cfRule>
  </conditionalFormatting>
  <conditionalFormatting sqref="AV8:AW8">
    <cfRule type="cellIs" dxfId="519" priority="11" stopIfTrue="1" operator="lessThan">
      <formula>0</formula>
    </cfRule>
  </conditionalFormatting>
  <conditionalFormatting sqref="AY8:AZ8">
    <cfRule type="cellIs" dxfId="518" priority="10" stopIfTrue="1" operator="lessThan">
      <formula>0</formula>
    </cfRule>
  </conditionalFormatting>
  <conditionalFormatting sqref="BB8:BC8">
    <cfRule type="cellIs" dxfId="517" priority="9" stopIfTrue="1" operator="lessThan">
      <formula>0</formula>
    </cfRule>
  </conditionalFormatting>
  <conditionalFormatting sqref="BE8:BF8">
    <cfRule type="cellIs" dxfId="516" priority="8" stopIfTrue="1" operator="lessThan">
      <formula>0</formula>
    </cfRule>
  </conditionalFormatting>
  <conditionalFormatting sqref="BH8:BI8">
    <cfRule type="cellIs" dxfId="515" priority="7" stopIfTrue="1" operator="lessThan">
      <formula>0</formula>
    </cfRule>
  </conditionalFormatting>
  <conditionalFormatting sqref="BK8:BL8">
    <cfRule type="cellIs" dxfId="514" priority="6" stopIfTrue="1" operator="lessThan">
      <formula>0</formula>
    </cfRule>
  </conditionalFormatting>
  <conditionalFormatting sqref="BN8:BO8">
    <cfRule type="cellIs" dxfId="513" priority="5" stopIfTrue="1" operator="lessThan">
      <formula>0</formula>
    </cfRule>
  </conditionalFormatting>
  <conditionalFormatting sqref="BQ8:BR8">
    <cfRule type="cellIs" dxfId="512" priority="4" stopIfTrue="1" operator="lessThan">
      <formula>0</formula>
    </cfRule>
  </conditionalFormatting>
  <conditionalFormatting sqref="BT8:BU8">
    <cfRule type="cellIs" dxfId="511" priority="3" stopIfTrue="1" operator="lessThan">
      <formula>0</formula>
    </cfRule>
  </conditionalFormatting>
  <conditionalFormatting sqref="BW8:BX8">
    <cfRule type="cellIs" dxfId="510" priority="2" stopIfTrue="1" operator="lessThan">
      <formula>0</formula>
    </cfRule>
  </conditionalFormatting>
  <conditionalFormatting sqref="BZ8:CA8">
    <cfRule type="cellIs" dxfId="509" priority="1" stopIfTrue="1" operator="lessThan">
      <formula>0</formula>
    </cfRule>
  </conditionalFormatting>
  <pageMargins left="0.31496062992125984" right="0.31496062992125984" top="0.55118110236220474" bottom="0.74803149606299213" header="0.31496062992125984" footer="0.31496062992125984"/>
  <pageSetup paperSize="8" scale="80" fitToWidth="0" fitToHeight="0" orientation="landscape" r:id="rId1"/>
  <headerFooter alignWithMargins="0">
    <oddFooter xml:space="preserve">&amp;R
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92"/>
  <sheetViews>
    <sheetView showZeros="0" view="pageBreakPreview" zoomScaleNormal="100" zoomScaleSheetLayoutView="100" workbookViewId="0">
      <selection activeCell="T40" sqref="T40:V41"/>
    </sheetView>
  </sheetViews>
  <sheetFormatPr defaultColWidth="6" defaultRowHeight="12.75" x14ac:dyDescent="0.2"/>
  <cols>
    <col min="1" max="1" width="6" style="381" customWidth="1"/>
    <col min="2" max="2" width="29.85546875" style="381" customWidth="1"/>
    <col min="3" max="3" width="6.5703125" style="381" customWidth="1"/>
    <col min="4" max="5" width="7.140625" style="381" customWidth="1"/>
    <col min="6" max="7" width="6" style="381" customWidth="1"/>
    <col min="8" max="79" width="8" style="381" customWidth="1"/>
    <col min="80" max="80" width="12.5703125" style="381" bestFit="1" customWidth="1"/>
    <col min="81" max="81" width="12.28515625" style="381" bestFit="1" customWidth="1"/>
    <col min="82" max="16384" width="6" style="381"/>
  </cols>
  <sheetData>
    <row r="1" spans="1:84" s="382" customFormat="1" ht="36" customHeight="1" x14ac:dyDescent="0.4">
      <c r="A1" s="495" t="s">
        <v>221</v>
      </c>
    </row>
    <row r="2" spans="1:84" s="382" customFormat="1" ht="28.5" customHeight="1" x14ac:dyDescent="0.4">
      <c r="A2" s="496" t="s">
        <v>155</v>
      </c>
      <c r="C2" s="474"/>
      <c r="D2" s="474"/>
      <c r="E2" s="474"/>
    </row>
    <row r="3" spans="1:84" ht="13.5" thickBot="1" x14ac:dyDescent="0.25">
      <c r="I3" s="529"/>
      <c r="L3" s="529"/>
      <c r="O3" s="529"/>
      <c r="R3" s="529"/>
      <c r="U3" s="529"/>
      <c r="X3" s="529"/>
      <c r="AA3" s="529"/>
      <c r="AD3" s="529"/>
      <c r="AG3" s="529"/>
      <c r="AJ3" s="529"/>
      <c r="AM3" s="529"/>
      <c r="AP3" s="529"/>
      <c r="AS3" s="529"/>
      <c r="AV3" s="529"/>
      <c r="AY3" s="529"/>
      <c r="BB3" s="529"/>
      <c r="BE3" s="529"/>
      <c r="BH3" s="529"/>
      <c r="BK3" s="529"/>
      <c r="BN3" s="529"/>
      <c r="BQ3" s="529"/>
      <c r="BT3" s="529"/>
      <c r="BW3" s="529"/>
      <c r="BZ3" s="529"/>
    </row>
    <row r="4" spans="1:84" s="799" customFormat="1" ht="21" customHeight="1" thickBot="1" x14ac:dyDescent="0.25">
      <c r="A4" s="2222" t="s">
        <v>12</v>
      </c>
      <c r="B4" s="2223"/>
      <c r="C4" s="2223"/>
      <c r="D4" s="2223"/>
      <c r="E4" s="2223"/>
      <c r="F4" s="2223"/>
      <c r="G4" s="2224"/>
      <c r="H4" s="2225" t="s">
        <v>156</v>
      </c>
      <c r="I4" s="2226"/>
      <c r="J4" s="2227"/>
      <c r="K4" s="2225" t="s">
        <v>157</v>
      </c>
      <c r="L4" s="2226"/>
      <c r="M4" s="2227"/>
      <c r="N4" s="2225" t="s">
        <v>158</v>
      </c>
      <c r="O4" s="2226"/>
      <c r="P4" s="2227"/>
      <c r="Q4" s="2225" t="s">
        <v>159</v>
      </c>
      <c r="R4" s="2226"/>
      <c r="S4" s="2227"/>
      <c r="T4" s="2225" t="s">
        <v>160</v>
      </c>
      <c r="U4" s="2226"/>
      <c r="V4" s="2227"/>
      <c r="W4" s="2225" t="s">
        <v>161</v>
      </c>
      <c r="X4" s="2226"/>
      <c r="Y4" s="2227"/>
      <c r="Z4" s="2225" t="s">
        <v>162</v>
      </c>
      <c r="AA4" s="2226"/>
      <c r="AB4" s="2227"/>
      <c r="AC4" s="2225" t="s">
        <v>163</v>
      </c>
      <c r="AD4" s="2226"/>
      <c r="AE4" s="2227"/>
      <c r="AF4" s="2225" t="s">
        <v>164</v>
      </c>
      <c r="AG4" s="2226"/>
      <c r="AH4" s="2227"/>
      <c r="AI4" s="2225" t="s">
        <v>165</v>
      </c>
      <c r="AJ4" s="2226"/>
      <c r="AK4" s="2227"/>
      <c r="AL4" s="2225" t="s">
        <v>166</v>
      </c>
      <c r="AM4" s="2226"/>
      <c r="AN4" s="2227"/>
      <c r="AO4" s="2225" t="s">
        <v>167</v>
      </c>
      <c r="AP4" s="2226"/>
      <c r="AQ4" s="2227"/>
      <c r="AR4" s="2225" t="s">
        <v>168</v>
      </c>
      <c r="AS4" s="2226"/>
      <c r="AT4" s="2227"/>
      <c r="AU4" s="2225" t="s">
        <v>169</v>
      </c>
      <c r="AV4" s="2226"/>
      <c r="AW4" s="2227"/>
      <c r="AX4" s="2225" t="s">
        <v>170</v>
      </c>
      <c r="AY4" s="2226"/>
      <c r="AZ4" s="2227"/>
      <c r="BA4" s="2225" t="s">
        <v>171</v>
      </c>
      <c r="BB4" s="2226"/>
      <c r="BC4" s="2227"/>
      <c r="BD4" s="2225" t="s">
        <v>172</v>
      </c>
      <c r="BE4" s="2226"/>
      <c r="BF4" s="2227"/>
      <c r="BG4" s="2225" t="s">
        <v>173</v>
      </c>
      <c r="BH4" s="2226"/>
      <c r="BI4" s="2227"/>
      <c r="BJ4" s="2225" t="s">
        <v>174</v>
      </c>
      <c r="BK4" s="2226"/>
      <c r="BL4" s="2227"/>
      <c r="BM4" s="2225" t="s">
        <v>175</v>
      </c>
      <c r="BN4" s="2226"/>
      <c r="BO4" s="2227"/>
      <c r="BP4" s="2225" t="s">
        <v>176</v>
      </c>
      <c r="BQ4" s="2226"/>
      <c r="BR4" s="2227"/>
      <c r="BS4" s="2225" t="s">
        <v>177</v>
      </c>
      <c r="BT4" s="2226"/>
      <c r="BU4" s="2227"/>
      <c r="BV4" s="2225" t="s">
        <v>178</v>
      </c>
      <c r="BW4" s="2226"/>
      <c r="BX4" s="2227"/>
      <c r="BY4" s="2225" t="s">
        <v>179</v>
      </c>
      <c r="BZ4" s="2226"/>
      <c r="CA4" s="2227"/>
      <c r="CC4" s="914"/>
      <c r="CF4" s="915"/>
    </row>
    <row r="5" spans="1:84" ht="12.75" customHeight="1" x14ac:dyDescent="0.2">
      <c r="A5" s="2228" t="s">
        <v>180</v>
      </c>
      <c r="B5" s="2229"/>
      <c r="C5" s="2232" t="s">
        <v>181</v>
      </c>
      <c r="D5" s="2234"/>
      <c r="E5" s="2235"/>
      <c r="F5" s="2235"/>
      <c r="G5" s="2236"/>
      <c r="H5" s="551" t="s">
        <v>4</v>
      </c>
      <c r="I5" s="552" t="s">
        <v>9</v>
      </c>
      <c r="J5" s="553" t="s">
        <v>10</v>
      </c>
      <c r="K5" s="551" t="s">
        <v>4</v>
      </c>
      <c r="L5" s="552" t="s">
        <v>9</v>
      </c>
      <c r="M5" s="553" t="s">
        <v>10</v>
      </c>
      <c r="N5" s="551" t="s">
        <v>4</v>
      </c>
      <c r="O5" s="552" t="s">
        <v>9</v>
      </c>
      <c r="P5" s="553" t="s">
        <v>10</v>
      </c>
      <c r="Q5" s="551" t="s">
        <v>4</v>
      </c>
      <c r="R5" s="552" t="s">
        <v>9</v>
      </c>
      <c r="S5" s="553" t="s">
        <v>10</v>
      </c>
      <c r="T5" s="551" t="s">
        <v>4</v>
      </c>
      <c r="U5" s="552" t="s">
        <v>9</v>
      </c>
      <c r="V5" s="553" t="s">
        <v>10</v>
      </c>
      <c r="W5" s="551" t="s">
        <v>4</v>
      </c>
      <c r="X5" s="552" t="s">
        <v>9</v>
      </c>
      <c r="Y5" s="553" t="s">
        <v>10</v>
      </c>
      <c r="Z5" s="551" t="s">
        <v>4</v>
      </c>
      <c r="AA5" s="552" t="s">
        <v>9</v>
      </c>
      <c r="AB5" s="553" t="s">
        <v>10</v>
      </c>
      <c r="AC5" s="551" t="s">
        <v>4</v>
      </c>
      <c r="AD5" s="552" t="s">
        <v>9</v>
      </c>
      <c r="AE5" s="553" t="s">
        <v>10</v>
      </c>
      <c r="AF5" s="551" t="s">
        <v>4</v>
      </c>
      <c r="AG5" s="552" t="s">
        <v>9</v>
      </c>
      <c r="AH5" s="553" t="s">
        <v>10</v>
      </c>
      <c r="AI5" s="551" t="s">
        <v>4</v>
      </c>
      <c r="AJ5" s="552" t="s">
        <v>9</v>
      </c>
      <c r="AK5" s="553" t="s">
        <v>10</v>
      </c>
      <c r="AL5" s="551" t="s">
        <v>4</v>
      </c>
      <c r="AM5" s="552" t="s">
        <v>9</v>
      </c>
      <c r="AN5" s="553" t="s">
        <v>10</v>
      </c>
      <c r="AO5" s="551" t="s">
        <v>4</v>
      </c>
      <c r="AP5" s="552" t="s">
        <v>9</v>
      </c>
      <c r="AQ5" s="553" t="s">
        <v>10</v>
      </c>
      <c r="AR5" s="551" t="s">
        <v>4</v>
      </c>
      <c r="AS5" s="552" t="s">
        <v>9</v>
      </c>
      <c r="AT5" s="553" t="s">
        <v>10</v>
      </c>
      <c r="AU5" s="551" t="s">
        <v>4</v>
      </c>
      <c r="AV5" s="552" t="s">
        <v>9</v>
      </c>
      <c r="AW5" s="553" t="s">
        <v>10</v>
      </c>
      <c r="AX5" s="551" t="s">
        <v>4</v>
      </c>
      <c r="AY5" s="552" t="s">
        <v>9</v>
      </c>
      <c r="AZ5" s="553" t="s">
        <v>10</v>
      </c>
      <c r="BA5" s="551" t="s">
        <v>4</v>
      </c>
      <c r="BB5" s="552" t="s">
        <v>9</v>
      </c>
      <c r="BC5" s="553" t="s">
        <v>10</v>
      </c>
      <c r="BD5" s="551" t="s">
        <v>4</v>
      </c>
      <c r="BE5" s="552" t="s">
        <v>9</v>
      </c>
      <c r="BF5" s="553" t="s">
        <v>10</v>
      </c>
      <c r="BG5" s="551" t="s">
        <v>4</v>
      </c>
      <c r="BH5" s="552" t="s">
        <v>9</v>
      </c>
      <c r="BI5" s="553" t="s">
        <v>10</v>
      </c>
      <c r="BJ5" s="551" t="s">
        <v>4</v>
      </c>
      <c r="BK5" s="552" t="s">
        <v>9</v>
      </c>
      <c r="BL5" s="553" t="s">
        <v>10</v>
      </c>
      <c r="BM5" s="551" t="s">
        <v>4</v>
      </c>
      <c r="BN5" s="552" t="s">
        <v>9</v>
      </c>
      <c r="BO5" s="553" t="s">
        <v>10</v>
      </c>
      <c r="BP5" s="551" t="s">
        <v>4</v>
      </c>
      <c r="BQ5" s="552" t="s">
        <v>9</v>
      </c>
      <c r="BR5" s="553" t="s">
        <v>10</v>
      </c>
      <c r="BS5" s="551" t="s">
        <v>4</v>
      </c>
      <c r="BT5" s="552" t="s">
        <v>9</v>
      </c>
      <c r="BU5" s="553" t="s">
        <v>10</v>
      </c>
      <c r="BV5" s="551" t="s">
        <v>4</v>
      </c>
      <c r="BW5" s="552" t="s">
        <v>9</v>
      </c>
      <c r="BX5" s="553" t="s">
        <v>10</v>
      </c>
      <c r="BY5" s="551" t="s">
        <v>4</v>
      </c>
      <c r="BZ5" s="552" t="s">
        <v>9</v>
      </c>
      <c r="CA5" s="553" t="s">
        <v>10</v>
      </c>
    </row>
    <row r="6" spans="1:84" ht="13.5" thickBot="1" x14ac:dyDescent="0.25">
      <c r="A6" s="2230"/>
      <c r="B6" s="2231"/>
      <c r="C6" s="2233"/>
      <c r="D6" s="2237"/>
      <c r="E6" s="2238"/>
      <c r="F6" s="2238"/>
      <c r="G6" s="2239"/>
      <c r="H6" s="916" t="s">
        <v>30</v>
      </c>
      <c r="I6" s="917" t="s">
        <v>31</v>
      </c>
      <c r="J6" s="918" t="s">
        <v>32</v>
      </c>
      <c r="K6" s="916" t="s">
        <v>30</v>
      </c>
      <c r="L6" s="917" t="s">
        <v>31</v>
      </c>
      <c r="M6" s="918" t="s">
        <v>32</v>
      </c>
      <c r="N6" s="916" t="s">
        <v>30</v>
      </c>
      <c r="O6" s="917" t="s">
        <v>31</v>
      </c>
      <c r="P6" s="918" t="s">
        <v>32</v>
      </c>
      <c r="Q6" s="916" t="s">
        <v>30</v>
      </c>
      <c r="R6" s="917" t="s">
        <v>31</v>
      </c>
      <c r="S6" s="918" t="s">
        <v>32</v>
      </c>
      <c r="T6" s="916" t="s">
        <v>30</v>
      </c>
      <c r="U6" s="917" t="s">
        <v>31</v>
      </c>
      <c r="V6" s="918" t="s">
        <v>32</v>
      </c>
      <c r="W6" s="916" t="s">
        <v>30</v>
      </c>
      <c r="X6" s="917" t="s">
        <v>31</v>
      </c>
      <c r="Y6" s="918" t="s">
        <v>32</v>
      </c>
      <c r="Z6" s="916" t="s">
        <v>30</v>
      </c>
      <c r="AA6" s="917" t="s">
        <v>31</v>
      </c>
      <c r="AB6" s="918" t="s">
        <v>32</v>
      </c>
      <c r="AC6" s="916" t="s">
        <v>30</v>
      </c>
      <c r="AD6" s="917" t="s">
        <v>31</v>
      </c>
      <c r="AE6" s="918" t="s">
        <v>32</v>
      </c>
      <c r="AF6" s="916" t="s">
        <v>30</v>
      </c>
      <c r="AG6" s="917" t="s">
        <v>31</v>
      </c>
      <c r="AH6" s="918" t="s">
        <v>32</v>
      </c>
      <c r="AI6" s="916" t="s">
        <v>30</v>
      </c>
      <c r="AJ6" s="917" t="s">
        <v>31</v>
      </c>
      <c r="AK6" s="918" t="s">
        <v>32</v>
      </c>
      <c r="AL6" s="916" t="s">
        <v>30</v>
      </c>
      <c r="AM6" s="917" t="s">
        <v>31</v>
      </c>
      <c r="AN6" s="918" t="s">
        <v>32</v>
      </c>
      <c r="AO6" s="916" t="s">
        <v>30</v>
      </c>
      <c r="AP6" s="917" t="s">
        <v>31</v>
      </c>
      <c r="AQ6" s="918" t="s">
        <v>32</v>
      </c>
      <c r="AR6" s="916" t="s">
        <v>30</v>
      </c>
      <c r="AS6" s="917" t="s">
        <v>31</v>
      </c>
      <c r="AT6" s="918" t="s">
        <v>32</v>
      </c>
      <c r="AU6" s="916" t="s">
        <v>30</v>
      </c>
      <c r="AV6" s="917" t="s">
        <v>31</v>
      </c>
      <c r="AW6" s="918" t="s">
        <v>32</v>
      </c>
      <c r="AX6" s="916" t="s">
        <v>30</v>
      </c>
      <c r="AY6" s="917" t="s">
        <v>31</v>
      </c>
      <c r="AZ6" s="918" t="s">
        <v>32</v>
      </c>
      <c r="BA6" s="916" t="s">
        <v>30</v>
      </c>
      <c r="BB6" s="917" t="s">
        <v>31</v>
      </c>
      <c r="BC6" s="918" t="s">
        <v>32</v>
      </c>
      <c r="BD6" s="916" t="s">
        <v>30</v>
      </c>
      <c r="BE6" s="917" t="s">
        <v>31</v>
      </c>
      <c r="BF6" s="918" t="s">
        <v>32</v>
      </c>
      <c r="BG6" s="916" t="s">
        <v>30</v>
      </c>
      <c r="BH6" s="917" t="s">
        <v>31</v>
      </c>
      <c r="BI6" s="918" t="s">
        <v>32</v>
      </c>
      <c r="BJ6" s="916" t="s">
        <v>30</v>
      </c>
      <c r="BK6" s="917" t="s">
        <v>31</v>
      </c>
      <c r="BL6" s="918" t="s">
        <v>32</v>
      </c>
      <c r="BM6" s="916" t="s">
        <v>30</v>
      </c>
      <c r="BN6" s="917" t="s">
        <v>31</v>
      </c>
      <c r="BO6" s="918" t="s">
        <v>32</v>
      </c>
      <c r="BP6" s="916" t="s">
        <v>30</v>
      </c>
      <c r="BQ6" s="917" t="s">
        <v>31</v>
      </c>
      <c r="BR6" s="918" t="s">
        <v>32</v>
      </c>
      <c r="BS6" s="916" t="s">
        <v>30</v>
      </c>
      <c r="BT6" s="917" t="s">
        <v>31</v>
      </c>
      <c r="BU6" s="918" t="s">
        <v>32</v>
      </c>
      <c r="BV6" s="916" t="s">
        <v>30</v>
      </c>
      <c r="BW6" s="917" t="s">
        <v>31</v>
      </c>
      <c r="BX6" s="918" t="s">
        <v>32</v>
      </c>
      <c r="BY6" s="916" t="s">
        <v>30</v>
      </c>
      <c r="BZ6" s="917" t="s">
        <v>31</v>
      </c>
      <c r="CA6" s="918" t="s">
        <v>32</v>
      </c>
    </row>
    <row r="7" spans="1:84" x14ac:dyDescent="0.2">
      <c r="A7" s="2240" t="s">
        <v>0</v>
      </c>
      <c r="B7" s="2241"/>
      <c r="C7" s="2246">
        <v>25</v>
      </c>
      <c r="D7" s="2249" t="s">
        <v>13</v>
      </c>
      <c r="E7" s="2250"/>
      <c r="F7" s="2255" t="s">
        <v>33</v>
      </c>
      <c r="G7" s="2256"/>
      <c r="H7" s="919" t="s">
        <v>84</v>
      </c>
      <c r="I7" s="920" t="s">
        <v>84</v>
      </c>
      <c r="J7" s="921" t="s">
        <v>84</v>
      </c>
      <c r="K7" s="919" t="s">
        <v>84</v>
      </c>
      <c r="L7" s="920" t="s">
        <v>84</v>
      </c>
      <c r="M7" s="921" t="s">
        <v>84</v>
      </c>
      <c r="N7" s="919" t="s">
        <v>84</v>
      </c>
      <c r="O7" s="920" t="s">
        <v>84</v>
      </c>
      <c r="P7" s="921" t="s">
        <v>84</v>
      </c>
      <c r="Q7" s="919" t="s">
        <v>84</v>
      </c>
      <c r="R7" s="920" t="s">
        <v>84</v>
      </c>
      <c r="S7" s="921" t="s">
        <v>84</v>
      </c>
      <c r="T7" s="919" t="s">
        <v>84</v>
      </c>
      <c r="U7" s="920" t="s">
        <v>84</v>
      </c>
      <c r="V7" s="921" t="s">
        <v>84</v>
      </c>
      <c r="W7" s="919" t="s">
        <v>84</v>
      </c>
      <c r="X7" s="920" t="s">
        <v>84</v>
      </c>
      <c r="Y7" s="921" t="s">
        <v>84</v>
      </c>
      <c r="Z7" s="919" t="s">
        <v>84</v>
      </c>
      <c r="AA7" s="920" t="s">
        <v>84</v>
      </c>
      <c r="AB7" s="921" t="s">
        <v>84</v>
      </c>
      <c r="AC7" s="919" t="s">
        <v>84</v>
      </c>
      <c r="AD7" s="920" t="s">
        <v>84</v>
      </c>
      <c r="AE7" s="921" t="s">
        <v>84</v>
      </c>
      <c r="AF7" s="919" t="s">
        <v>84</v>
      </c>
      <c r="AG7" s="920" t="s">
        <v>84</v>
      </c>
      <c r="AH7" s="921" t="s">
        <v>84</v>
      </c>
      <c r="AI7" s="919" t="s">
        <v>84</v>
      </c>
      <c r="AJ7" s="920" t="s">
        <v>84</v>
      </c>
      <c r="AK7" s="921" t="s">
        <v>84</v>
      </c>
      <c r="AL7" s="919" t="s">
        <v>84</v>
      </c>
      <c r="AM7" s="920" t="s">
        <v>84</v>
      </c>
      <c r="AN7" s="921" t="s">
        <v>84</v>
      </c>
      <c r="AO7" s="919" t="s">
        <v>84</v>
      </c>
      <c r="AP7" s="920" t="s">
        <v>84</v>
      </c>
      <c r="AQ7" s="921" t="s">
        <v>84</v>
      </c>
      <c r="AR7" s="919" t="s">
        <v>84</v>
      </c>
      <c r="AS7" s="920" t="s">
        <v>84</v>
      </c>
      <c r="AT7" s="921" t="s">
        <v>84</v>
      </c>
      <c r="AU7" s="919" t="s">
        <v>84</v>
      </c>
      <c r="AV7" s="920" t="s">
        <v>84</v>
      </c>
      <c r="AW7" s="921" t="s">
        <v>84</v>
      </c>
      <c r="AX7" s="919" t="s">
        <v>84</v>
      </c>
      <c r="AY7" s="920" t="s">
        <v>84</v>
      </c>
      <c r="AZ7" s="921" t="s">
        <v>84</v>
      </c>
      <c r="BA7" s="919" t="s">
        <v>84</v>
      </c>
      <c r="BB7" s="920" t="s">
        <v>84</v>
      </c>
      <c r="BC7" s="921" t="s">
        <v>84</v>
      </c>
      <c r="BD7" s="919" t="s">
        <v>84</v>
      </c>
      <c r="BE7" s="920" t="s">
        <v>84</v>
      </c>
      <c r="BF7" s="921" t="s">
        <v>84</v>
      </c>
      <c r="BG7" s="919" t="s">
        <v>84</v>
      </c>
      <c r="BH7" s="920" t="s">
        <v>84</v>
      </c>
      <c r="BI7" s="921" t="s">
        <v>84</v>
      </c>
      <c r="BJ7" s="919" t="s">
        <v>84</v>
      </c>
      <c r="BK7" s="920" t="s">
        <v>84</v>
      </c>
      <c r="BL7" s="921" t="s">
        <v>84</v>
      </c>
      <c r="BM7" s="919" t="s">
        <v>84</v>
      </c>
      <c r="BN7" s="920" t="s">
        <v>84</v>
      </c>
      <c r="BO7" s="921" t="s">
        <v>84</v>
      </c>
      <c r="BP7" s="919" t="s">
        <v>84</v>
      </c>
      <c r="BQ7" s="920" t="s">
        <v>84</v>
      </c>
      <c r="BR7" s="921" t="s">
        <v>84</v>
      </c>
      <c r="BS7" s="919" t="s">
        <v>84</v>
      </c>
      <c r="BT7" s="920" t="s">
        <v>84</v>
      </c>
      <c r="BU7" s="921" t="s">
        <v>84</v>
      </c>
      <c r="BV7" s="919" t="s">
        <v>84</v>
      </c>
      <c r="BW7" s="920" t="s">
        <v>84</v>
      </c>
      <c r="BX7" s="921" t="s">
        <v>84</v>
      </c>
      <c r="BY7" s="919" t="s">
        <v>84</v>
      </c>
      <c r="BZ7" s="920" t="s">
        <v>84</v>
      </c>
      <c r="CA7" s="921" t="s">
        <v>84</v>
      </c>
    </row>
    <row r="8" spans="1:84" x14ac:dyDescent="0.2">
      <c r="A8" s="2242"/>
      <c r="B8" s="2243"/>
      <c r="C8" s="2247"/>
      <c r="D8" s="2251"/>
      <c r="E8" s="2252"/>
      <c r="F8" s="2257" t="s">
        <v>34</v>
      </c>
      <c r="G8" s="2258"/>
      <c r="H8" s="518">
        <f>ROUND(SQRT(I8^2+J8^2)*1000/(SQRT(3)*I11),2)</f>
        <v>168.75</v>
      </c>
      <c r="I8" s="815">
        <f>I31+I21</f>
        <v>2.8794560000000002</v>
      </c>
      <c r="J8" s="815">
        <f>J31+J21</f>
        <v>0.77268799999999993</v>
      </c>
      <c r="K8" s="518">
        <f>ROUND(SQRT(L8^2+M8^2)*1000/(SQRT(3)*L11),2)</f>
        <v>167.12</v>
      </c>
      <c r="L8" s="815">
        <f>L31+L21</f>
        <v>2.8478320000000004</v>
      </c>
      <c r="M8" s="815">
        <f>M31+M21</f>
        <v>0.7792</v>
      </c>
      <c r="N8" s="518">
        <f>ROUND(SQRT(O8^2+P8^2)*1000/(SQRT(3)*O11),2)</f>
        <v>164.85</v>
      </c>
      <c r="O8" s="815">
        <f>O31+O21</f>
        <v>2.8069039999999998</v>
      </c>
      <c r="P8" s="815">
        <f>P31+P21</f>
        <v>0.776536</v>
      </c>
      <c r="Q8" s="518">
        <f>ROUND(SQRT(R8^2+S8^2)*1000/(SQRT(3)*R11),2)</f>
        <v>164.08</v>
      </c>
      <c r="R8" s="815">
        <f>R31+R21</f>
        <v>2.7932079999999999</v>
      </c>
      <c r="S8" s="815">
        <f>S31+S21</f>
        <v>0.77551199999999998</v>
      </c>
      <c r="T8" s="518">
        <f>ROUND(SQRT(U8^2+V8^2)*1000/(SQRT(3)*U11),2)</f>
        <v>164.67</v>
      </c>
      <c r="U8" s="815">
        <f>U31+U21</f>
        <v>2.8053919999999999</v>
      </c>
      <c r="V8" s="815">
        <f>V31+V21</f>
        <v>0.76993599999999995</v>
      </c>
      <c r="W8" s="518">
        <f>ROUND(SQRT(X8^2+Y8^2)*1000/(SQRT(3)*X11),2)</f>
        <v>167.74</v>
      </c>
      <c r="X8" s="815">
        <f>X31+X21</f>
        <v>2.8603840000000003</v>
      </c>
      <c r="Y8" s="815">
        <f>Y31+Y21</f>
        <v>0.774648</v>
      </c>
      <c r="Z8" s="518">
        <f>ROUND(SQRT(AA8^2+AB8^2)*1000/(SQRT(3)*AA11),2)</f>
        <v>173.54</v>
      </c>
      <c r="AA8" s="815">
        <f>AA31+AA21</f>
        <v>2.9652959999999999</v>
      </c>
      <c r="AB8" s="815">
        <f>AB31+AB21</f>
        <v>0.77906399999999998</v>
      </c>
      <c r="AC8" s="518">
        <f>ROUND(SQRT(AD8^2+AE8^2)*1000/(SQRT(3)*AD11),2)</f>
        <v>178.91</v>
      </c>
      <c r="AD8" s="815">
        <f>AD31+AD21</f>
        <v>3.0622160000000003</v>
      </c>
      <c r="AE8" s="815">
        <f>AE31+AE21</f>
        <v>0.78351999999999999</v>
      </c>
      <c r="AF8" s="518">
        <f>ROUND(SQRT(AG8^2+AH8^2)*1000/(SQRT(3)*AG11),2)</f>
        <v>183.6</v>
      </c>
      <c r="AG8" s="815">
        <f>AG31+AG21</f>
        <v>3.1410160000000005</v>
      </c>
      <c r="AH8" s="815">
        <f>AH31+AH21</f>
        <v>0.80970399999999998</v>
      </c>
      <c r="AI8" s="518">
        <f>ROUND(SQRT(AJ8^2+AK8^2)*1000/(SQRT(3)*AJ11),2)</f>
        <v>184.41</v>
      </c>
      <c r="AJ8" s="815">
        <f>AJ31+AJ21</f>
        <v>3.1533519999999999</v>
      </c>
      <c r="AK8" s="815">
        <f>AK31+AK21</f>
        <v>0.81896800000000003</v>
      </c>
      <c r="AL8" s="518">
        <f>ROUND(SQRT(AM8^2+AN8^2)*1000/(SQRT(3)*AM11),2)</f>
        <v>185.25</v>
      </c>
      <c r="AM8" s="815">
        <f>AM31+AM21</f>
        <v>3.1597519999999992</v>
      </c>
      <c r="AN8" s="815">
        <f>AN31+AN21</f>
        <v>0.852912</v>
      </c>
      <c r="AO8" s="518">
        <f>ROUND(SQRT(AP8^2+AQ8^2)*1000/(SQRT(3)*AP11),2)</f>
        <v>184.88</v>
      </c>
      <c r="AP8" s="815">
        <f>AP31+AP21</f>
        <v>3.1490480000000001</v>
      </c>
      <c r="AQ8" s="815">
        <f>AQ31+AQ21</f>
        <v>0.86707999999999985</v>
      </c>
      <c r="AR8" s="518">
        <f>ROUND(SQRT(AS8^2+AT8^2)*1000/(SQRT(3)*AS11),2)</f>
        <v>177.53</v>
      </c>
      <c r="AS8" s="815">
        <f>AS31+AS21</f>
        <v>3.0449440000000001</v>
      </c>
      <c r="AT8" s="815">
        <f>AT31+AT21</f>
        <v>0.75201600000000002</v>
      </c>
      <c r="AU8" s="518">
        <f>ROUND(SQRT(AV8^2+AW8^2)*1000/(SQRT(3)*AV11),2)</f>
        <v>181.94</v>
      </c>
      <c r="AV8" s="815">
        <f>AV31+AV21</f>
        <v>3.108304</v>
      </c>
      <c r="AW8" s="815">
        <f>AW31+AW21</f>
        <v>0.81868800000000008</v>
      </c>
      <c r="AX8" s="518">
        <f>ROUND(SQRT(AY8^2+AZ8^2)*1000/(SQRT(3)*AY11),2)</f>
        <v>180.2</v>
      </c>
      <c r="AY8" s="815">
        <f>AY31+AY21</f>
        <v>3.0722640000000001</v>
      </c>
      <c r="AZ8" s="815">
        <f>AZ31+AZ21</f>
        <v>0.83416800000000002</v>
      </c>
      <c r="BA8" s="518">
        <f>ROUND(SQRT(BB8^2+BC8^2)*1000/(SQRT(3)*BB11),2)</f>
        <v>181.11</v>
      </c>
      <c r="BB8" s="815">
        <f>BB31+BB21</f>
        <v>3.0970560000000003</v>
      </c>
      <c r="BC8" s="815">
        <f>BC31+BC21</f>
        <v>0.8039599999999999</v>
      </c>
      <c r="BD8" s="518">
        <f>ROUND(SQRT(BE8^2+BF8^2)*1000/(SQRT(3)*BE11),2)</f>
        <v>187.8</v>
      </c>
      <c r="BE8" s="815">
        <f>BE31+BE21</f>
        <v>3.2064959999999996</v>
      </c>
      <c r="BF8" s="815">
        <f>BF31+BF21</f>
        <v>0.85203999999999991</v>
      </c>
      <c r="BG8" s="518">
        <f>ROUND(SQRT(BH8^2+BI8^2)*1000/(SQRT(3)*BH11),2)</f>
        <v>184.28</v>
      </c>
      <c r="BH8" s="815">
        <f>BH31+BH21</f>
        <v>3.1442399999999999</v>
      </c>
      <c r="BI8" s="815">
        <f>BI31+BI21</f>
        <v>0.84412799999999999</v>
      </c>
      <c r="BJ8" s="518">
        <f>ROUND(SQRT(BK8^2+BL8^2)*1000/(SQRT(3)*BK11),2)</f>
        <v>187.67</v>
      </c>
      <c r="BK8" s="815">
        <f>BK31+BK21</f>
        <v>3.2014239999999998</v>
      </c>
      <c r="BL8" s="815">
        <f>BL31+BL21</f>
        <v>0.8625600000000001</v>
      </c>
      <c r="BM8" s="518">
        <f>ROUND(SQRT(BN8^2+BO8^2)*1000/(SQRT(3)*BN11),2)</f>
        <v>180.53</v>
      </c>
      <c r="BN8" s="815">
        <f>BN31+BN21</f>
        <v>3.0974239999999997</v>
      </c>
      <c r="BO8" s="815">
        <f>BO31+BO21</f>
        <v>0.76059200000000005</v>
      </c>
      <c r="BP8" s="518">
        <f>ROUND(SQRT(BQ8^2+BR8^2)*1000/(SQRT(3)*BQ11),2)</f>
        <v>179.52</v>
      </c>
      <c r="BQ8" s="815">
        <f>BQ31+BQ21</f>
        <v>3.081512</v>
      </c>
      <c r="BR8" s="815">
        <f>BR31+BR21</f>
        <v>0.75005600000000006</v>
      </c>
      <c r="BS8" s="518">
        <f>ROUND(SQRT(BT8^2+BU8^2)*1000/(SQRT(3)*BT11),2)</f>
        <v>178.26</v>
      </c>
      <c r="BT8" s="815">
        <f>BT31+BT21</f>
        <v>3.0593840000000001</v>
      </c>
      <c r="BU8" s="815">
        <f>BU31+BU21</f>
        <v>0.74723200000000001</v>
      </c>
      <c r="BV8" s="518">
        <f>ROUND(SQRT(BW8^2+BX8^2)*1000/(SQRT(3)*BW11),2)</f>
        <v>171.52</v>
      </c>
      <c r="BW8" s="815">
        <f>BW31+BW21</f>
        <v>2.9337840000000002</v>
      </c>
      <c r="BX8" s="815">
        <f>BX31+BX21</f>
        <v>0.75816800000000006</v>
      </c>
      <c r="BY8" s="518">
        <f>ROUND(SQRT(BZ8^2+CA8^2)*1000/(SQRT(3)*BZ11),2)</f>
        <v>165.68</v>
      </c>
      <c r="BZ8" s="815">
        <f>BZ31+BZ21</f>
        <v>2.8256239999999995</v>
      </c>
      <c r="CA8" s="815">
        <f>CA31+CA21</f>
        <v>0.76369599999999993</v>
      </c>
      <c r="CB8" s="618">
        <f>SUM(BZ8,BW8,BT8,BQ8,BN8,BK8,BH8,BE8,BB8,AY8,AV8,AS8,AP8,AM8,AJ8,AG8,AD8,AA8,X8,U8,R8,O8,L8,I8)</f>
        <v>72.496312000000003</v>
      </c>
      <c r="CC8" s="618">
        <f>SUM(CA8,BX8,BU8,BR8,BO8,BL8,BI8,BF8,BC8,AZ8,AW8,AT8,AQ8,AN8,AK8,AH8,AE8,AB8,Y8,V8,S8,P8,M8,J8)</f>
        <v>19.107071999999999</v>
      </c>
      <c r="CF8" s="529"/>
    </row>
    <row r="9" spans="1:84" ht="13.5" customHeight="1" thickBot="1" x14ac:dyDescent="0.25">
      <c r="A9" s="2242"/>
      <c r="B9" s="2243"/>
      <c r="C9" s="2247"/>
      <c r="D9" s="2253"/>
      <c r="E9" s="2254"/>
      <c r="F9" s="2259"/>
      <c r="G9" s="2260"/>
      <c r="H9" s="523" t="s">
        <v>84</v>
      </c>
      <c r="I9" s="524" t="s">
        <v>84</v>
      </c>
      <c r="J9" s="525" t="s">
        <v>84</v>
      </c>
      <c r="K9" s="523" t="s">
        <v>84</v>
      </c>
      <c r="L9" s="524" t="s">
        <v>84</v>
      </c>
      <c r="M9" s="525" t="s">
        <v>84</v>
      </c>
      <c r="N9" s="523" t="s">
        <v>84</v>
      </c>
      <c r="O9" s="524" t="s">
        <v>84</v>
      </c>
      <c r="P9" s="525" t="s">
        <v>84</v>
      </c>
      <c r="Q9" s="523" t="s">
        <v>84</v>
      </c>
      <c r="R9" s="524" t="s">
        <v>84</v>
      </c>
      <c r="S9" s="525" t="s">
        <v>84</v>
      </c>
      <c r="T9" s="523" t="s">
        <v>84</v>
      </c>
      <c r="U9" s="524" t="s">
        <v>84</v>
      </c>
      <c r="V9" s="525" t="s">
        <v>84</v>
      </c>
      <c r="W9" s="523" t="s">
        <v>84</v>
      </c>
      <c r="X9" s="524" t="s">
        <v>84</v>
      </c>
      <c r="Y9" s="525" t="s">
        <v>84</v>
      </c>
      <c r="Z9" s="523" t="s">
        <v>84</v>
      </c>
      <c r="AA9" s="524" t="s">
        <v>84</v>
      </c>
      <c r="AB9" s="525" t="s">
        <v>84</v>
      </c>
      <c r="AC9" s="523" t="s">
        <v>84</v>
      </c>
      <c r="AD9" s="524" t="s">
        <v>84</v>
      </c>
      <c r="AE9" s="525" t="s">
        <v>84</v>
      </c>
      <c r="AF9" s="523" t="s">
        <v>84</v>
      </c>
      <c r="AG9" s="524" t="s">
        <v>84</v>
      </c>
      <c r="AH9" s="525" t="s">
        <v>84</v>
      </c>
      <c r="AI9" s="523" t="s">
        <v>84</v>
      </c>
      <c r="AJ9" s="524" t="s">
        <v>84</v>
      </c>
      <c r="AK9" s="525" t="s">
        <v>84</v>
      </c>
      <c r="AL9" s="523" t="s">
        <v>84</v>
      </c>
      <c r="AM9" s="524" t="s">
        <v>84</v>
      </c>
      <c r="AN9" s="525" t="s">
        <v>84</v>
      </c>
      <c r="AO9" s="523" t="s">
        <v>84</v>
      </c>
      <c r="AP9" s="524" t="s">
        <v>84</v>
      </c>
      <c r="AQ9" s="525" t="s">
        <v>84</v>
      </c>
      <c r="AR9" s="523" t="s">
        <v>84</v>
      </c>
      <c r="AS9" s="524" t="s">
        <v>84</v>
      </c>
      <c r="AT9" s="525" t="s">
        <v>84</v>
      </c>
      <c r="AU9" s="523" t="s">
        <v>84</v>
      </c>
      <c r="AV9" s="524" t="s">
        <v>84</v>
      </c>
      <c r="AW9" s="525" t="s">
        <v>84</v>
      </c>
      <c r="AX9" s="523" t="s">
        <v>84</v>
      </c>
      <c r="AY9" s="524" t="s">
        <v>84</v>
      </c>
      <c r="AZ9" s="525" t="s">
        <v>84</v>
      </c>
      <c r="BA9" s="523" t="s">
        <v>84</v>
      </c>
      <c r="BB9" s="524" t="s">
        <v>84</v>
      </c>
      <c r="BC9" s="525" t="s">
        <v>84</v>
      </c>
      <c r="BD9" s="523" t="s">
        <v>84</v>
      </c>
      <c r="BE9" s="524" t="s">
        <v>84</v>
      </c>
      <c r="BF9" s="525" t="s">
        <v>84</v>
      </c>
      <c r="BG9" s="523" t="s">
        <v>84</v>
      </c>
      <c r="BH9" s="524" t="s">
        <v>84</v>
      </c>
      <c r="BI9" s="525" t="s">
        <v>84</v>
      </c>
      <c r="BJ9" s="523" t="s">
        <v>84</v>
      </c>
      <c r="BK9" s="524" t="s">
        <v>84</v>
      </c>
      <c r="BL9" s="525" t="s">
        <v>84</v>
      </c>
      <c r="BM9" s="523" t="s">
        <v>84</v>
      </c>
      <c r="BN9" s="524" t="s">
        <v>84</v>
      </c>
      <c r="BO9" s="525" t="s">
        <v>84</v>
      </c>
      <c r="BP9" s="523" t="s">
        <v>84</v>
      </c>
      <c r="BQ9" s="524" t="s">
        <v>84</v>
      </c>
      <c r="BR9" s="525" t="s">
        <v>84</v>
      </c>
      <c r="BS9" s="523" t="s">
        <v>84</v>
      </c>
      <c r="BT9" s="524" t="s">
        <v>84</v>
      </c>
      <c r="BU9" s="525" t="s">
        <v>84</v>
      </c>
      <c r="BV9" s="523" t="s">
        <v>84</v>
      </c>
      <c r="BW9" s="524" t="s">
        <v>84</v>
      </c>
      <c r="BX9" s="525" t="s">
        <v>84</v>
      </c>
      <c r="BY9" s="523" t="s">
        <v>84</v>
      </c>
      <c r="BZ9" s="524" t="s">
        <v>84</v>
      </c>
      <c r="CA9" s="525" t="s">
        <v>84</v>
      </c>
      <c r="CB9" s="922"/>
      <c r="CC9" s="922"/>
    </row>
    <row r="10" spans="1:84" x14ac:dyDescent="0.2">
      <c r="A10" s="2242"/>
      <c r="B10" s="2243"/>
      <c r="C10" s="2247"/>
      <c r="D10" s="2249" t="s">
        <v>14</v>
      </c>
      <c r="E10" s="2250"/>
      <c r="F10" s="2255" t="s">
        <v>33</v>
      </c>
      <c r="G10" s="2256"/>
      <c r="H10" s="923"/>
      <c r="I10" s="924">
        <v>114</v>
      </c>
      <c r="J10" s="925"/>
      <c r="K10" s="923"/>
      <c r="L10" s="924">
        <v>114</v>
      </c>
      <c r="M10" s="925"/>
      <c r="N10" s="923"/>
      <c r="O10" s="924">
        <v>114</v>
      </c>
      <c r="P10" s="925"/>
      <c r="Q10" s="923"/>
      <c r="R10" s="924">
        <v>114</v>
      </c>
      <c r="S10" s="925"/>
      <c r="T10" s="923"/>
      <c r="U10" s="924">
        <v>114</v>
      </c>
      <c r="V10" s="925"/>
      <c r="W10" s="923"/>
      <c r="X10" s="924">
        <v>114</v>
      </c>
      <c r="Y10" s="925"/>
      <c r="Z10" s="923"/>
      <c r="AA10" s="924">
        <v>114</v>
      </c>
      <c r="AB10" s="925"/>
      <c r="AC10" s="923"/>
      <c r="AD10" s="924">
        <v>114</v>
      </c>
      <c r="AE10" s="925"/>
      <c r="AF10" s="923"/>
      <c r="AG10" s="924">
        <v>114</v>
      </c>
      <c r="AH10" s="925"/>
      <c r="AI10" s="923"/>
      <c r="AJ10" s="924">
        <v>114</v>
      </c>
      <c r="AK10" s="925"/>
      <c r="AL10" s="923"/>
      <c r="AM10" s="924">
        <v>114</v>
      </c>
      <c r="AN10" s="925"/>
      <c r="AO10" s="923"/>
      <c r="AP10" s="924">
        <v>114</v>
      </c>
      <c r="AQ10" s="925"/>
      <c r="AR10" s="923"/>
      <c r="AS10" s="924">
        <v>114</v>
      </c>
      <c r="AT10" s="925"/>
      <c r="AU10" s="923"/>
      <c r="AV10" s="924">
        <v>114</v>
      </c>
      <c r="AW10" s="925"/>
      <c r="AX10" s="923"/>
      <c r="AY10" s="924">
        <v>114</v>
      </c>
      <c r="AZ10" s="925"/>
      <c r="BA10" s="923"/>
      <c r="BB10" s="924">
        <v>114</v>
      </c>
      <c r="BC10" s="925"/>
      <c r="BD10" s="923"/>
      <c r="BE10" s="924">
        <v>114</v>
      </c>
      <c r="BF10" s="925"/>
      <c r="BG10" s="923"/>
      <c r="BH10" s="924">
        <v>114</v>
      </c>
      <c r="BI10" s="925"/>
      <c r="BJ10" s="923"/>
      <c r="BK10" s="924">
        <v>114</v>
      </c>
      <c r="BL10" s="925"/>
      <c r="BM10" s="923"/>
      <c r="BN10" s="924">
        <v>114</v>
      </c>
      <c r="BO10" s="925"/>
      <c r="BP10" s="923"/>
      <c r="BQ10" s="924">
        <v>114</v>
      </c>
      <c r="BR10" s="925"/>
      <c r="BS10" s="923"/>
      <c r="BT10" s="924">
        <v>114</v>
      </c>
      <c r="BU10" s="925"/>
      <c r="BV10" s="923"/>
      <c r="BW10" s="924">
        <v>114</v>
      </c>
      <c r="BX10" s="925"/>
      <c r="BY10" s="923"/>
      <c r="BZ10" s="924">
        <v>114</v>
      </c>
      <c r="CA10" s="925"/>
      <c r="CB10" s="618"/>
      <c r="CC10" s="618"/>
    </row>
    <row r="11" spans="1:84" x14ac:dyDescent="0.2">
      <c r="A11" s="2242"/>
      <c r="B11" s="2243"/>
      <c r="C11" s="2247"/>
      <c r="D11" s="2251"/>
      <c r="E11" s="2252"/>
      <c r="F11" s="2257" t="s">
        <v>34</v>
      </c>
      <c r="G11" s="2258"/>
      <c r="H11" s="926"/>
      <c r="I11" s="927">
        <v>10.199999999999999</v>
      </c>
      <c r="J11" s="928"/>
      <c r="K11" s="926"/>
      <c r="L11" s="927">
        <v>10.199999999999999</v>
      </c>
      <c r="M11" s="928"/>
      <c r="N11" s="926"/>
      <c r="O11" s="927">
        <v>10.199999999999999</v>
      </c>
      <c r="P11" s="928"/>
      <c r="Q11" s="926"/>
      <c r="R11" s="927">
        <v>10.199999999999999</v>
      </c>
      <c r="S11" s="928"/>
      <c r="T11" s="926"/>
      <c r="U11" s="927">
        <v>10.199999999999999</v>
      </c>
      <c r="V11" s="928"/>
      <c r="W11" s="926"/>
      <c r="X11" s="927">
        <v>10.199999999999999</v>
      </c>
      <c r="Y11" s="928"/>
      <c r="Z11" s="926"/>
      <c r="AA11" s="927">
        <v>10.199999999999999</v>
      </c>
      <c r="AB11" s="928"/>
      <c r="AC11" s="926"/>
      <c r="AD11" s="927">
        <v>10.199999999999999</v>
      </c>
      <c r="AE11" s="928"/>
      <c r="AF11" s="926"/>
      <c r="AG11" s="927">
        <v>10.199999999999999</v>
      </c>
      <c r="AH11" s="928"/>
      <c r="AI11" s="926"/>
      <c r="AJ11" s="927">
        <v>10.199999999999999</v>
      </c>
      <c r="AK11" s="928"/>
      <c r="AL11" s="926"/>
      <c r="AM11" s="927">
        <v>10.199999999999999</v>
      </c>
      <c r="AN11" s="928"/>
      <c r="AO11" s="926"/>
      <c r="AP11" s="927">
        <v>10.199999999999999</v>
      </c>
      <c r="AQ11" s="928"/>
      <c r="AR11" s="926"/>
      <c r="AS11" s="927">
        <v>10.199999999999999</v>
      </c>
      <c r="AT11" s="928"/>
      <c r="AU11" s="926"/>
      <c r="AV11" s="927">
        <v>10.199999999999999</v>
      </c>
      <c r="AW11" s="928"/>
      <c r="AX11" s="926"/>
      <c r="AY11" s="927">
        <v>10.199999999999999</v>
      </c>
      <c r="AZ11" s="928"/>
      <c r="BA11" s="926"/>
      <c r="BB11" s="927">
        <v>10.199999999999999</v>
      </c>
      <c r="BC11" s="928"/>
      <c r="BD11" s="926"/>
      <c r="BE11" s="927">
        <v>10.199999999999999</v>
      </c>
      <c r="BF11" s="928"/>
      <c r="BG11" s="926"/>
      <c r="BH11" s="927">
        <v>10.199999999999999</v>
      </c>
      <c r="BI11" s="928"/>
      <c r="BJ11" s="926"/>
      <c r="BK11" s="927">
        <v>10.199999999999999</v>
      </c>
      <c r="BL11" s="928"/>
      <c r="BM11" s="926"/>
      <c r="BN11" s="927">
        <v>10.199999999999999</v>
      </c>
      <c r="BO11" s="928"/>
      <c r="BP11" s="926"/>
      <c r="BQ11" s="927">
        <v>10.199999999999999</v>
      </c>
      <c r="BR11" s="928"/>
      <c r="BS11" s="926"/>
      <c r="BT11" s="927">
        <v>10.199999999999999</v>
      </c>
      <c r="BU11" s="928"/>
      <c r="BV11" s="926"/>
      <c r="BW11" s="927">
        <v>10.199999999999999</v>
      </c>
      <c r="BX11" s="928"/>
      <c r="BY11" s="926"/>
      <c r="BZ11" s="927">
        <v>10.199999999999999</v>
      </c>
      <c r="CA11" s="928"/>
      <c r="CB11" s="618"/>
      <c r="CC11" s="618"/>
    </row>
    <row r="12" spans="1:84" ht="13.5" thickBot="1" x14ac:dyDescent="0.25">
      <c r="A12" s="2242"/>
      <c r="B12" s="2243"/>
      <c r="C12" s="2247"/>
      <c r="D12" s="2253"/>
      <c r="E12" s="2254"/>
      <c r="F12" s="2259"/>
      <c r="G12" s="2260"/>
      <c r="H12" s="811"/>
      <c r="I12" s="522" t="s">
        <v>84</v>
      </c>
      <c r="J12" s="526"/>
      <c r="K12" s="811"/>
      <c r="L12" s="522" t="s">
        <v>84</v>
      </c>
      <c r="M12" s="526"/>
      <c r="N12" s="811"/>
      <c r="O12" s="522" t="s">
        <v>84</v>
      </c>
      <c r="P12" s="526"/>
      <c r="Q12" s="811"/>
      <c r="R12" s="522" t="s">
        <v>84</v>
      </c>
      <c r="S12" s="526"/>
      <c r="T12" s="811"/>
      <c r="U12" s="522" t="s">
        <v>84</v>
      </c>
      <c r="V12" s="526"/>
      <c r="W12" s="811"/>
      <c r="X12" s="522" t="s">
        <v>84</v>
      </c>
      <c r="Y12" s="526"/>
      <c r="Z12" s="811"/>
      <c r="AA12" s="522" t="s">
        <v>84</v>
      </c>
      <c r="AB12" s="526"/>
      <c r="AC12" s="811"/>
      <c r="AD12" s="522" t="s">
        <v>84</v>
      </c>
      <c r="AE12" s="526"/>
      <c r="AF12" s="811"/>
      <c r="AG12" s="522" t="s">
        <v>84</v>
      </c>
      <c r="AH12" s="526"/>
      <c r="AI12" s="811"/>
      <c r="AJ12" s="522" t="s">
        <v>84</v>
      </c>
      <c r="AK12" s="526"/>
      <c r="AL12" s="811"/>
      <c r="AM12" s="522" t="s">
        <v>84</v>
      </c>
      <c r="AN12" s="526"/>
      <c r="AO12" s="811"/>
      <c r="AP12" s="522" t="s">
        <v>84</v>
      </c>
      <c r="AQ12" s="526"/>
      <c r="AR12" s="811"/>
      <c r="AS12" s="522" t="s">
        <v>84</v>
      </c>
      <c r="AT12" s="526"/>
      <c r="AU12" s="811"/>
      <c r="AV12" s="522" t="s">
        <v>84</v>
      </c>
      <c r="AW12" s="526"/>
      <c r="AX12" s="811"/>
      <c r="AY12" s="522" t="s">
        <v>84</v>
      </c>
      <c r="AZ12" s="526"/>
      <c r="BA12" s="811"/>
      <c r="BB12" s="522" t="s">
        <v>84</v>
      </c>
      <c r="BC12" s="526"/>
      <c r="BD12" s="811"/>
      <c r="BE12" s="522" t="s">
        <v>84</v>
      </c>
      <c r="BF12" s="526"/>
      <c r="BG12" s="811"/>
      <c r="BH12" s="522" t="s">
        <v>84</v>
      </c>
      <c r="BI12" s="526"/>
      <c r="BJ12" s="811"/>
      <c r="BK12" s="522" t="s">
        <v>84</v>
      </c>
      <c r="BL12" s="526"/>
      <c r="BM12" s="811"/>
      <c r="BN12" s="522" t="s">
        <v>84</v>
      </c>
      <c r="BO12" s="526"/>
      <c r="BP12" s="811"/>
      <c r="BQ12" s="522" t="s">
        <v>84</v>
      </c>
      <c r="BR12" s="526"/>
      <c r="BS12" s="811"/>
      <c r="BT12" s="522" t="s">
        <v>84</v>
      </c>
      <c r="BU12" s="526"/>
      <c r="BV12" s="811"/>
      <c r="BW12" s="522" t="s">
        <v>84</v>
      </c>
      <c r="BX12" s="526"/>
      <c r="BY12" s="811"/>
      <c r="BZ12" s="522" t="s">
        <v>84</v>
      </c>
      <c r="CA12" s="526"/>
      <c r="CB12" s="618"/>
      <c r="CC12" s="618"/>
    </row>
    <row r="13" spans="1:84" ht="13.5" thickBot="1" x14ac:dyDescent="0.25">
      <c r="A13" s="2244"/>
      <c r="B13" s="2245"/>
      <c r="C13" s="2248"/>
      <c r="D13" s="2261" t="s">
        <v>39</v>
      </c>
      <c r="E13" s="2262"/>
      <c r="F13" s="2262"/>
      <c r="G13" s="2263"/>
      <c r="H13" s="812"/>
      <c r="I13" s="813">
        <v>9</v>
      </c>
      <c r="J13" s="814"/>
      <c r="K13" s="812"/>
      <c r="L13" s="813">
        <v>9</v>
      </c>
      <c r="M13" s="814"/>
      <c r="N13" s="812"/>
      <c r="O13" s="813">
        <v>9</v>
      </c>
      <c r="P13" s="814"/>
      <c r="Q13" s="812"/>
      <c r="R13" s="813">
        <v>9</v>
      </c>
      <c r="S13" s="814"/>
      <c r="T13" s="812"/>
      <c r="U13" s="813">
        <v>9</v>
      </c>
      <c r="V13" s="814"/>
      <c r="W13" s="812"/>
      <c r="X13" s="813">
        <v>9</v>
      </c>
      <c r="Y13" s="814"/>
      <c r="Z13" s="812"/>
      <c r="AA13" s="813">
        <v>9</v>
      </c>
      <c r="AB13" s="814"/>
      <c r="AC13" s="812"/>
      <c r="AD13" s="813">
        <v>9</v>
      </c>
      <c r="AE13" s="814"/>
      <c r="AF13" s="812"/>
      <c r="AG13" s="813">
        <v>9</v>
      </c>
      <c r="AH13" s="814"/>
      <c r="AI13" s="812"/>
      <c r="AJ13" s="813">
        <v>9</v>
      </c>
      <c r="AK13" s="814"/>
      <c r="AL13" s="812"/>
      <c r="AM13" s="813">
        <v>9</v>
      </c>
      <c r="AN13" s="814"/>
      <c r="AO13" s="812"/>
      <c r="AP13" s="813">
        <v>9</v>
      </c>
      <c r="AQ13" s="814"/>
      <c r="AR13" s="812"/>
      <c r="AS13" s="813">
        <v>9</v>
      </c>
      <c r="AT13" s="814"/>
      <c r="AU13" s="812"/>
      <c r="AV13" s="813">
        <v>9</v>
      </c>
      <c r="AW13" s="814"/>
      <c r="AX13" s="812"/>
      <c r="AY13" s="813">
        <v>9</v>
      </c>
      <c r="AZ13" s="814"/>
      <c r="BA13" s="812"/>
      <c r="BB13" s="813">
        <v>9</v>
      </c>
      <c r="BC13" s="814"/>
      <c r="BD13" s="812"/>
      <c r="BE13" s="813">
        <v>9</v>
      </c>
      <c r="BF13" s="814"/>
      <c r="BG13" s="812"/>
      <c r="BH13" s="813">
        <v>9</v>
      </c>
      <c r="BI13" s="814"/>
      <c r="BJ13" s="812"/>
      <c r="BK13" s="813">
        <v>9</v>
      </c>
      <c r="BL13" s="814"/>
      <c r="BM13" s="812"/>
      <c r="BN13" s="813">
        <v>9</v>
      </c>
      <c r="BO13" s="814"/>
      <c r="BP13" s="812"/>
      <c r="BQ13" s="813">
        <v>9</v>
      </c>
      <c r="BR13" s="814"/>
      <c r="BS13" s="812"/>
      <c r="BT13" s="813">
        <v>9</v>
      </c>
      <c r="BU13" s="814"/>
      <c r="BV13" s="812"/>
      <c r="BW13" s="813">
        <v>9</v>
      </c>
      <c r="BX13" s="814"/>
      <c r="BY13" s="812"/>
      <c r="BZ13" s="813">
        <v>9</v>
      </c>
      <c r="CA13" s="814"/>
      <c r="CB13" s="618"/>
      <c r="CC13" s="618"/>
    </row>
    <row r="14" spans="1:84" x14ac:dyDescent="0.2">
      <c r="A14" s="2249" t="s">
        <v>1</v>
      </c>
      <c r="B14" s="2250"/>
      <c r="C14" s="2246">
        <v>25</v>
      </c>
      <c r="D14" s="2249" t="s">
        <v>13</v>
      </c>
      <c r="E14" s="2250"/>
      <c r="F14" s="2255" t="s">
        <v>33</v>
      </c>
      <c r="G14" s="2256"/>
      <c r="H14" s="919" t="s">
        <v>84</v>
      </c>
      <c r="I14" s="920" t="s">
        <v>84</v>
      </c>
      <c r="J14" s="921" t="s">
        <v>84</v>
      </c>
      <c r="K14" s="919" t="s">
        <v>84</v>
      </c>
      <c r="L14" s="920" t="s">
        <v>84</v>
      </c>
      <c r="M14" s="921" t="s">
        <v>84</v>
      </c>
      <c r="N14" s="919" t="s">
        <v>84</v>
      </c>
      <c r="O14" s="920" t="s">
        <v>84</v>
      </c>
      <c r="P14" s="921" t="s">
        <v>84</v>
      </c>
      <c r="Q14" s="919" t="s">
        <v>84</v>
      </c>
      <c r="R14" s="920" t="s">
        <v>84</v>
      </c>
      <c r="S14" s="921" t="s">
        <v>84</v>
      </c>
      <c r="T14" s="919" t="s">
        <v>84</v>
      </c>
      <c r="U14" s="920" t="s">
        <v>84</v>
      </c>
      <c r="V14" s="921" t="s">
        <v>84</v>
      </c>
      <c r="W14" s="919" t="s">
        <v>84</v>
      </c>
      <c r="X14" s="920" t="s">
        <v>84</v>
      </c>
      <c r="Y14" s="921" t="s">
        <v>84</v>
      </c>
      <c r="Z14" s="919" t="s">
        <v>84</v>
      </c>
      <c r="AA14" s="920" t="s">
        <v>84</v>
      </c>
      <c r="AB14" s="921" t="s">
        <v>84</v>
      </c>
      <c r="AC14" s="919" t="s">
        <v>84</v>
      </c>
      <c r="AD14" s="920" t="s">
        <v>84</v>
      </c>
      <c r="AE14" s="921" t="s">
        <v>84</v>
      </c>
      <c r="AF14" s="919" t="s">
        <v>84</v>
      </c>
      <c r="AG14" s="920" t="s">
        <v>84</v>
      </c>
      <c r="AH14" s="921" t="s">
        <v>84</v>
      </c>
      <c r="AI14" s="919" t="s">
        <v>84</v>
      </c>
      <c r="AJ14" s="920" t="s">
        <v>84</v>
      </c>
      <c r="AK14" s="921" t="s">
        <v>84</v>
      </c>
      <c r="AL14" s="919" t="s">
        <v>84</v>
      </c>
      <c r="AM14" s="920" t="s">
        <v>84</v>
      </c>
      <c r="AN14" s="921" t="s">
        <v>84</v>
      </c>
      <c r="AO14" s="919" t="s">
        <v>84</v>
      </c>
      <c r="AP14" s="920" t="s">
        <v>84</v>
      </c>
      <c r="AQ14" s="921" t="s">
        <v>84</v>
      </c>
      <c r="AR14" s="919" t="s">
        <v>84</v>
      </c>
      <c r="AS14" s="920" t="s">
        <v>84</v>
      </c>
      <c r="AT14" s="921" t="s">
        <v>84</v>
      </c>
      <c r="AU14" s="919" t="s">
        <v>84</v>
      </c>
      <c r="AV14" s="920" t="s">
        <v>84</v>
      </c>
      <c r="AW14" s="921" t="s">
        <v>84</v>
      </c>
      <c r="AX14" s="919" t="s">
        <v>84</v>
      </c>
      <c r="AY14" s="920" t="s">
        <v>84</v>
      </c>
      <c r="AZ14" s="921" t="s">
        <v>84</v>
      </c>
      <c r="BA14" s="919" t="s">
        <v>84</v>
      </c>
      <c r="BB14" s="920" t="s">
        <v>84</v>
      </c>
      <c r="BC14" s="921" t="s">
        <v>84</v>
      </c>
      <c r="BD14" s="919" t="s">
        <v>84</v>
      </c>
      <c r="BE14" s="920" t="s">
        <v>84</v>
      </c>
      <c r="BF14" s="921" t="s">
        <v>84</v>
      </c>
      <c r="BG14" s="919" t="s">
        <v>84</v>
      </c>
      <c r="BH14" s="920" t="s">
        <v>84</v>
      </c>
      <c r="BI14" s="921" t="s">
        <v>84</v>
      </c>
      <c r="BJ14" s="919" t="s">
        <v>84</v>
      </c>
      <c r="BK14" s="920" t="s">
        <v>84</v>
      </c>
      <c r="BL14" s="921" t="s">
        <v>84</v>
      </c>
      <c r="BM14" s="919" t="s">
        <v>84</v>
      </c>
      <c r="BN14" s="920" t="s">
        <v>84</v>
      </c>
      <c r="BO14" s="921" t="s">
        <v>84</v>
      </c>
      <c r="BP14" s="919" t="s">
        <v>84</v>
      </c>
      <c r="BQ14" s="920" t="s">
        <v>84</v>
      </c>
      <c r="BR14" s="921" t="s">
        <v>84</v>
      </c>
      <c r="BS14" s="919" t="s">
        <v>84</v>
      </c>
      <c r="BT14" s="920" t="s">
        <v>84</v>
      </c>
      <c r="BU14" s="921" t="s">
        <v>84</v>
      </c>
      <c r="BV14" s="919" t="s">
        <v>84</v>
      </c>
      <c r="BW14" s="920" t="s">
        <v>84</v>
      </c>
      <c r="BX14" s="921" t="s">
        <v>84</v>
      </c>
      <c r="BY14" s="919" t="s">
        <v>84</v>
      </c>
      <c r="BZ14" s="920" t="s">
        <v>84</v>
      </c>
      <c r="CA14" s="921" t="s">
        <v>84</v>
      </c>
      <c r="CB14" s="618"/>
      <c r="CC14" s="922"/>
    </row>
    <row r="15" spans="1:84" x14ac:dyDescent="0.2">
      <c r="A15" s="2251"/>
      <c r="B15" s="2252"/>
      <c r="C15" s="2247"/>
      <c r="D15" s="2251"/>
      <c r="E15" s="2252"/>
      <c r="F15" s="2257" t="s">
        <v>34</v>
      </c>
      <c r="G15" s="2258"/>
      <c r="H15" s="518">
        <f>ROUND(SQRT(I15^2+J15^2)*1000/(SQRT(3)*I18),2)</f>
        <v>171</v>
      </c>
      <c r="I15" s="815">
        <f>I38+I23</f>
        <v>2.9123600000000001</v>
      </c>
      <c r="J15" s="815">
        <f>J38+J23</f>
        <v>0.68323999999999996</v>
      </c>
      <c r="K15" s="518">
        <f>ROUND(SQRT(L15^2+M15^2)*1000/(SQRT(3)*L18),2)</f>
        <v>163.88</v>
      </c>
      <c r="L15" s="815">
        <f>L38+L23</f>
        <v>2.785768</v>
      </c>
      <c r="M15" s="815">
        <f>M38+M23</f>
        <v>0.67741600000000002</v>
      </c>
      <c r="N15" s="518">
        <f>ROUND(SQRT(O15^2+P15^2)*1000/(SQRT(3)*O18),2)</f>
        <v>160.81</v>
      </c>
      <c r="O15" s="815">
        <f>O38+O23</f>
        <v>2.7307200000000003</v>
      </c>
      <c r="P15" s="815">
        <f>P38+P23</f>
        <v>0.67588799999999993</v>
      </c>
      <c r="Q15" s="518">
        <f>ROUND(SQRT(R15^2+S15^2)*1000/(SQRT(3)*R18),2)</f>
        <v>157.52000000000001</v>
      </c>
      <c r="R15" s="815">
        <f>R38+R23</f>
        <v>2.6717200000000001</v>
      </c>
      <c r="S15" s="815">
        <f>S38+S23</f>
        <v>0.67486400000000002</v>
      </c>
      <c r="T15" s="518">
        <f>ROUND(SQRT(U15^2+V15^2)*1000/(SQRT(3)*U18),2)</f>
        <v>157.76</v>
      </c>
      <c r="U15" s="815">
        <f>U38+U23</f>
        <v>2.6761520000000001</v>
      </c>
      <c r="V15" s="815">
        <f>V38+V23</f>
        <v>0.67441600000000002</v>
      </c>
      <c r="W15" s="518">
        <f>ROUND(SQRT(X15^2+Y15^2)*1000/(SQRT(3)*X18),2)</f>
        <v>160.94999999999999</v>
      </c>
      <c r="X15" s="815">
        <f>X38+X23</f>
        <v>2.7337439999999997</v>
      </c>
      <c r="Y15" s="815">
        <f>Y38+Y23</f>
        <v>0.67406400000000011</v>
      </c>
      <c r="Z15" s="518">
        <f>ROUND(SQRT(AA15^2+AB15^2)*1000/(SQRT(3)*AA18),2)</f>
        <v>175.79</v>
      </c>
      <c r="AA15" s="815">
        <f>AA38+AA23</f>
        <v>2.9961760000000002</v>
      </c>
      <c r="AB15" s="815">
        <f>AB38+AB23</f>
        <v>0.69284000000000001</v>
      </c>
      <c r="AC15" s="518">
        <f>ROUND(SQRT(AD15^2+AE15^2)*1000/(SQRT(3)*AD18),2)</f>
        <v>189.36</v>
      </c>
      <c r="AD15" s="815">
        <f>AD38+AD23</f>
        <v>3.2383519999999999</v>
      </c>
      <c r="AE15" s="815">
        <f>AE38+AE23</f>
        <v>0.69761600000000001</v>
      </c>
      <c r="AF15" s="518">
        <f>ROUND(SQRT(AG15^2+AH15^2)*1000/(SQRT(3)*AG18),2)</f>
        <v>197.69</v>
      </c>
      <c r="AG15" s="815">
        <f>AG38+AG23</f>
        <v>3.3880560000000002</v>
      </c>
      <c r="AH15" s="815">
        <f>AH38+AH23</f>
        <v>0.6932640000000001</v>
      </c>
      <c r="AI15" s="518">
        <f>ROUND(SQRT(AJ15^2+AK15^2)*1000/(SQRT(3)*AJ18),2)</f>
        <v>201.85</v>
      </c>
      <c r="AJ15" s="815">
        <f>AJ38+AJ23</f>
        <v>3.4606239999999997</v>
      </c>
      <c r="AK15" s="815">
        <f>AK38+AK23</f>
        <v>0.70161600000000002</v>
      </c>
      <c r="AL15" s="518">
        <f>ROUND(SQRT(AM15^2+AN15^2)*1000/(SQRT(3)*AM18),2)</f>
        <v>198.07</v>
      </c>
      <c r="AM15" s="815">
        <f>AM38+AM23</f>
        <v>3.3942559999999995</v>
      </c>
      <c r="AN15" s="815">
        <f>AN38+AN23</f>
        <v>0.6968160000000001</v>
      </c>
      <c r="AO15" s="518">
        <f>ROUND(SQRT(AP15^2+AQ15^2)*1000/(SQRT(3)*AP18),2)</f>
        <v>198.67</v>
      </c>
      <c r="AP15" s="815">
        <f>AP38+AP23</f>
        <v>3.4039280000000001</v>
      </c>
      <c r="AQ15" s="815">
        <f>AQ38+AQ23</f>
        <v>0.70146400000000009</v>
      </c>
      <c r="AR15" s="518">
        <f>ROUND(SQRT(AS15^2+AT15^2)*1000/(SQRT(3)*AS18),2)</f>
        <v>198.88</v>
      </c>
      <c r="AS15" s="815">
        <f>AS38+AS23</f>
        <v>3.4101680000000001</v>
      </c>
      <c r="AT15" s="815">
        <f>AT38+AT23</f>
        <v>0.68979199999999996</v>
      </c>
      <c r="AU15" s="518">
        <f>ROUND(SQRT(AV15^2+AW15^2)*1000/(SQRT(3)*AV18),2)</f>
        <v>198.34</v>
      </c>
      <c r="AV15" s="815">
        <f>AV38+AV23</f>
        <v>3.3981600000000007</v>
      </c>
      <c r="AW15" s="815">
        <f>AW38+AW23</f>
        <v>0.70123999999999997</v>
      </c>
      <c r="AX15" s="518">
        <f>ROUND(SQRT(AY15^2+AZ15^2)*1000/(SQRT(3)*AY18),2)</f>
        <v>197.31</v>
      </c>
      <c r="AY15" s="815">
        <f>AY38+AY23</f>
        <v>3.3786319999999996</v>
      </c>
      <c r="AZ15" s="815">
        <f>AZ38+AZ23</f>
        <v>0.70643999999999996</v>
      </c>
      <c r="BA15" s="518">
        <f>ROUND(SQRT(BB15^2+BC15^2)*1000/(SQRT(3)*BB18),2)</f>
        <v>200.05</v>
      </c>
      <c r="BB15" s="815">
        <f>BB38+BB23</f>
        <v>3.4278080000000002</v>
      </c>
      <c r="BC15" s="815">
        <f>BC38+BC23</f>
        <v>0.70561600000000002</v>
      </c>
      <c r="BD15" s="518">
        <f>ROUND(SQRT(BE15^2+BF15^2)*1000/(SQRT(3)*BE18),2)</f>
        <v>206.53</v>
      </c>
      <c r="BE15" s="815">
        <f>BE38+BE23</f>
        <v>3.5430319999999997</v>
      </c>
      <c r="BF15" s="815">
        <f>BF38+BF23</f>
        <v>0.70744000000000007</v>
      </c>
      <c r="BG15" s="518">
        <f>ROUND(SQRT(BH15^2+BI15^2)*1000/(SQRT(3)*BH18),2)</f>
        <v>208.91</v>
      </c>
      <c r="BH15" s="815">
        <f>BH38+BH23</f>
        <v>3.5864639999999999</v>
      </c>
      <c r="BI15" s="815">
        <f>BI38+BI23</f>
        <v>0.7024640000000002</v>
      </c>
      <c r="BJ15" s="518">
        <f>ROUND(SQRT(BK15^2+BL15^2)*1000/(SQRT(3)*BK18),2)</f>
        <v>209.71</v>
      </c>
      <c r="BK15" s="815">
        <f>BK38+BK23</f>
        <v>3.6050879999999998</v>
      </c>
      <c r="BL15" s="815">
        <f>BL38+BL23</f>
        <v>0.67959200000000008</v>
      </c>
      <c r="BM15" s="518">
        <f>ROUND(SQRT(BN15^2+BO15^2)*1000/(SQRT(3)*BN18),2)</f>
        <v>208.9</v>
      </c>
      <c r="BN15" s="815">
        <f>BN38+BN23</f>
        <v>3.5904559999999996</v>
      </c>
      <c r="BO15" s="815">
        <f>BO38+BO23</f>
        <v>0.68064000000000002</v>
      </c>
      <c r="BP15" s="518">
        <f>ROUND(SQRT(BQ15^2+BR15^2)*1000/(SQRT(3)*BQ18),2)</f>
        <v>207.36</v>
      </c>
      <c r="BQ15" s="815">
        <f>BQ38+BQ23</f>
        <v>3.5621039999999997</v>
      </c>
      <c r="BR15" s="815">
        <f>BR38+BR23</f>
        <v>0.68524000000000007</v>
      </c>
      <c r="BS15" s="518">
        <f>ROUND(SQRT(BT15^2+BU15^2)*1000/(SQRT(3)*BT18),2)</f>
        <v>202.17</v>
      </c>
      <c r="BT15" s="815">
        <f>BT38+BT23</f>
        <v>3.4657120000000003</v>
      </c>
      <c r="BU15" s="815">
        <f>BU38+BU23</f>
        <v>0.70539200000000002</v>
      </c>
      <c r="BV15" s="518">
        <f>ROUND(SQRT(BW15^2+BX15^2)*1000/(SQRT(3)*BW18),2)</f>
        <v>193.34</v>
      </c>
      <c r="BW15" s="815">
        <f>BW38+BW23</f>
        <v>3.3065119999999997</v>
      </c>
      <c r="BX15" s="815">
        <f>BX38+BX23</f>
        <v>0.71163999999999994</v>
      </c>
      <c r="BY15" s="518">
        <f>ROUND(SQRT(BZ15^2+CA15^2)*1000/(SQRT(3)*BZ18),2)</f>
        <v>179.16</v>
      </c>
      <c r="BZ15" s="815">
        <f>BZ38+BZ23</f>
        <v>3.054808</v>
      </c>
      <c r="CA15" s="815">
        <f>CA38+CA23</f>
        <v>0.70124000000000009</v>
      </c>
      <c r="CB15" s="618">
        <f>SUM(BZ15,BW15,BT15,BQ15,BN15,BK15,BH15,BE15,BB15,AY15,AV15,AS15,AP15,AM15,AJ15,AG15,AD15,AA15,X15,U15,R15,O15,L15,I15)</f>
        <v>77.720799999999997</v>
      </c>
      <c r="CC15" s="618">
        <f>SUM(CA15,BX15,BU15,BR15,BO15,BL15,BI15,BF15,BC15,AZ15,AW15,AT15,AQ15,AN15,AK15,AH15,AE15,AB15,Y15,V15,S15,P15,M15,J15)</f>
        <v>16.620240000000003</v>
      </c>
      <c r="CF15" s="529"/>
    </row>
    <row r="16" spans="1:84" ht="13.5" thickBot="1" x14ac:dyDescent="0.25">
      <c r="A16" s="2251"/>
      <c r="B16" s="2252"/>
      <c r="C16" s="2247"/>
      <c r="D16" s="2253"/>
      <c r="E16" s="2254"/>
      <c r="F16" s="2259"/>
      <c r="G16" s="2260"/>
      <c r="H16" s="523" t="s">
        <v>84</v>
      </c>
      <c r="I16" s="524" t="s">
        <v>84</v>
      </c>
      <c r="J16" s="525" t="s">
        <v>84</v>
      </c>
      <c r="K16" s="523" t="s">
        <v>84</v>
      </c>
      <c r="L16" s="524" t="s">
        <v>84</v>
      </c>
      <c r="M16" s="525" t="s">
        <v>84</v>
      </c>
      <c r="N16" s="523" t="s">
        <v>84</v>
      </c>
      <c r="O16" s="524" t="s">
        <v>84</v>
      </c>
      <c r="P16" s="525" t="s">
        <v>84</v>
      </c>
      <c r="Q16" s="523" t="s">
        <v>84</v>
      </c>
      <c r="R16" s="524" t="s">
        <v>84</v>
      </c>
      <c r="S16" s="525" t="s">
        <v>84</v>
      </c>
      <c r="T16" s="523" t="s">
        <v>84</v>
      </c>
      <c r="U16" s="524" t="s">
        <v>84</v>
      </c>
      <c r="V16" s="525" t="s">
        <v>84</v>
      </c>
      <c r="W16" s="523" t="s">
        <v>84</v>
      </c>
      <c r="X16" s="524" t="s">
        <v>84</v>
      </c>
      <c r="Y16" s="525" t="s">
        <v>84</v>
      </c>
      <c r="Z16" s="523" t="s">
        <v>84</v>
      </c>
      <c r="AA16" s="524" t="s">
        <v>84</v>
      </c>
      <c r="AB16" s="525" t="s">
        <v>84</v>
      </c>
      <c r="AC16" s="523" t="s">
        <v>84</v>
      </c>
      <c r="AD16" s="524" t="s">
        <v>84</v>
      </c>
      <c r="AE16" s="525" t="s">
        <v>84</v>
      </c>
      <c r="AF16" s="523" t="s">
        <v>84</v>
      </c>
      <c r="AG16" s="524" t="s">
        <v>84</v>
      </c>
      <c r="AH16" s="525" t="s">
        <v>84</v>
      </c>
      <c r="AI16" s="523" t="s">
        <v>84</v>
      </c>
      <c r="AJ16" s="524" t="s">
        <v>84</v>
      </c>
      <c r="AK16" s="525" t="s">
        <v>84</v>
      </c>
      <c r="AL16" s="523" t="s">
        <v>84</v>
      </c>
      <c r="AM16" s="524" t="s">
        <v>84</v>
      </c>
      <c r="AN16" s="525" t="s">
        <v>84</v>
      </c>
      <c r="AO16" s="523" t="s">
        <v>84</v>
      </c>
      <c r="AP16" s="524" t="s">
        <v>84</v>
      </c>
      <c r="AQ16" s="525" t="s">
        <v>84</v>
      </c>
      <c r="AR16" s="523" t="s">
        <v>84</v>
      </c>
      <c r="AS16" s="524" t="s">
        <v>84</v>
      </c>
      <c r="AT16" s="525" t="s">
        <v>84</v>
      </c>
      <c r="AU16" s="523" t="s">
        <v>84</v>
      </c>
      <c r="AV16" s="524" t="s">
        <v>84</v>
      </c>
      <c r="AW16" s="525" t="s">
        <v>84</v>
      </c>
      <c r="AX16" s="523" t="s">
        <v>84</v>
      </c>
      <c r="AY16" s="524" t="s">
        <v>84</v>
      </c>
      <c r="AZ16" s="525" t="s">
        <v>84</v>
      </c>
      <c r="BA16" s="523" t="s">
        <v>84</v>
      </c>
      <c r="BB16" s="524" t="s">
        <v>84</v>
      </c>
      <c r="BC16" s="525" t="s">
        <v>84</v>
      </c>
      <c r="BD16" s="523" t="s">
        <v>84</v>
      </c>
      <c r="BE16" s="524" t="s">
        <v>84</v>
      </c>
      <c r="BF16" s="525" t="s">
        <v>84</v>
      </c>
      <c r="BG16" s="523" t="s">
        <v>84</v>
      </c>
      <c r="BH16" s="524" t="s">
        <v>84</v>
      </c>
      <c r="BI16" s="525" t="s">
        <v>84</v>
      </c>
      <c r="BJ16" s="523" t="s">
        <v>84</v>
      </c>
      <c r="BK16" s="524" t="s">
        <v>84</v>
      </c>
      <c r="BL16" s="525" t="s">
        <v>84</v>
      </c>
      <c r="BM16" s="523" t="s">
        <v>84</v>
      </c>
      <c r="BN16" s="524" t="s">
        <v>84</v>
      </c>
      <c r="BO16" s="525" t="s">
        <v>84</v>
      </c>
      <c r="BP16" s="523" t="s">
        <v>84</v>
      </c>
      <c r="BQ16" s="524" t="s">
        <v>84</v>
      </c>
      <c r="BR16" s="525" t="s">
        <v>84</v>
      </c>
      <c r="BS16" s="523" t="s">
        <v>84</v>
      </c>
      <c r="BT16" s="524" t="s">
        <v>84</v>
      </c>
      <c r="BU16" s="525" t="s">
        <v>84</v>
      </c>
      <c r="BV16" s="523" t="s">
        <v>84</v>
      </c>
      <c r="BW16" s="524" t="s">
        <v>84</v>
      </c>
      <c r="BX16" s="525" t="s">
        <v>84</v>
      </c>
      <c r="BY16" s="523" t="s">
        <v>84</v>
      </c>
      <c r="BZ16" s="524" t="s">
        <v>84</v>
      </c>
      <c r="CA16" s="525" t="s">
        <v>84</v>
      </c>
      <c r="CB16" s="618"/>
      <c r="CC16" s="922"/>
    </row>
    <row r="17" spans="1:84" x14ac:dyDescent="0.2">
      <c r="A17" s="2251"/>
      <c r="B17" s="2252"/>
      <c r="C17" s="2247"/>
      <c r="D17" s="2249" t="s">
        <v>14</v>
      </c>
      <c r="E17" s="2250"/>
      <c r="F17" s="2255" t="s">
        <v>33</v>
      </c>
      <c r="G17" s="2256"/>
      <c r="H17" s="923"/>
      <c r="I17" s="924">
        <v>114</v>
      </c>
      <c r="J17" s="925"/>
      <c r="K17" s="923"/>
      <c r="L17" s="924">
        <v>114</v>
      </c>
      <c r="M17" s="925"/>
      <c r="N17" s="923"/>
      <c r="O17" s="924">
        <v>114</v>
      </c>
      <c r="P17" s="925"/>
      <c r="Q17" s="923"/>
      <c r="R17" s="924">
        <v>114</v>
      </c>
      <c r="S17" s="925"/>
      <c r="T17" s="923"/>
      <c r="U17" s="924">
        <v>114</v>
      </c>
      <c r="V17" s="925"/>
      <c r="W17" s="923"/>
      <c r="X17" s="924">
        <v>114</v>
      </c>
      <c r="Y17" s="925"/>
      <c r="Z17" s="923"/>
      <c r="AA17" s="924">
        <v>114</v>
      </c>
      <c r="AB17" s="925"/>
      <c r="AC17" s="923"/>
      <c r="AD17" s="924">
        <v>114</v>
      </c>
      <c r="AE17" s="925"/>
      <c r="AF17" s="923"/>
      <c r="AG17" s="924">
        <v>114</v>
      </c>
      <c r="AH17" s="925"/>
      <c r="AI17" s="923"/>
      <c r="AJ17" s="924">
        <v>114</v>
      </c>
      <c r="AK17" s="925"/>
      <c r="AL17" s="923"/>
      <c r="AM17" s="924">
        <v>114</v>
      </c>
      <c r="AN17" s="925"/>
      <c r="AO17" s="923"/>
      <c r="AP17" s="924">
        <v>114</v>
      </c>
      <c r="AQ17" s="925"/>
      <c r="AR17" s="923"/>
      <c r="AS17" s="924">
        <v>114</v>
      </c>
      <c r="AT17" s="925"/>
      <c r="AU17" s="923"/>
      <c r="AV17" s="924">
        <v>114</v>
      </c>
      <c r="AW17" s="925"/>
      <c r="AX17" s="923"/>
      <c r="AY17" s="924">
        <v>114</v>
      </c>
      <c r="AZ17" s="925"/>
      <c r="BA17" s="923"/>
      <c r="BB17" s="924">
        <v>114</v>
      </c>
      <c r="BC17" s="925"/>
      <c r="BD17" s="923"/>
      <c r="BE17" s="924">
        <v>114</v>
      </c>
      <c r="BF17" s="925"/>
      <c r="BG17" s="923"/>
      <c r="BH17" s="924">
        <v>114</v>
      </c>
      <c r="BI17" s="925"/>
      <c r="BJ17" s="923"/>
      <c r="BK17" s="924">
        <v>114</v>
      </c>
      <c r="BL17" s="925"/>
      <c r="BM17" s="923"/>
      <c r="BN17" s="924">
        <v>114</v>
      </c>
      <c r="BO17" s="925"/>
      <c r="BP17" s="923"/>
      <c r="BQ17" s="924">
        <v>114</v>
      </c>
      <c r="BR17" s="925"/>
      <c r="BS17" s="923"/>
      <c r="BT17" s="924">
        <v>114</v>
      </c>
      <c r="BU17" s="925"/>
      <c r="BV17" s="923"/>
      <c r="BW17" s="924">
        <v>114</v>
      </c>
      <c r="BX17" s="925"/>
      <c r="BY17" s="923"/>
      <c r="BZ17" s="924">
        <v>114</v>
      </c>
      <c r="CA17" s="925"/>
      <c r="CB17" s="618"/>
      <c r="CC17" s="618"/>
    </row>
    <row r="18" spans="1:84" x14ac:dyDescent="0.2">
      <c r="A18" s="2251"/>
      <c r="B18" s="2252"/>
      <c r="C18" s="2247"/>
      <c r="D18" s="2251"/>
      <c r="E18" s="2252"/>
      <c r="F18" s="2257" t="s">
        <v>34</v>
      </c>
      <c r="G18" s="2258"/>
      <c r="H18" s="926"/>
      <c r="I18" s="927">
        <v>10.1</v>
      </c>
      <c r="J18" s="928"/>
      <c r="K18" s="926"/>
      <c r="L18" s="927">
        <v>10.1</v>
      </c>
      <c r="M18" s="928"/>
      <c r="N18" s="926"/>
      <c r="O18" s="927">
        <v>10.1</v>
      </c>
      <c r="P18" s="928"/>
      <c r="Q18" s="926"/>
      <c r="R18" s="927">
        <v>10.1</v>
      </c>
      <c r="S18" s="928"/>
      <c r="T18" s="926"/>
      <c r="U18" s="927">
        <v>10.1</v>
      </c>
      <c r="V18" s="928"/>
      <c r="W18" s="926"/>
      <c r="X18" s="927">
        <v>10.1</v>
      </c>
      <c r="Y18" s="928"/>
      <c r="Z18" s="926"/>
      <c r="AA18" s="927">
        <v>10.1</v>
      </c>
      <c r="AB18" s="928"/>
      <c r="AC18" s="926"/>
      <c r="AD18" s="927">
        <v>10.1</v>
      </c>
      <c r="AE18" s="928"/>
      <c r="AF18" s="926"/>
      <c r="AG18" s="927">
        <v>10.1</v>
      </c>
      <c r="AH18" s="928"/>
      <c r="AI18" s="926"/>
      <c r="AJ18" s="927">
        <v>10.1</v>
      </c>
      <c r="AK18" s="928"/>
      <c r="AL18" s="926"/>
      <c r="AM18" s="927">
        <v>10.1</v>
      </c>
      <c r="AN18" s="928"/>
      <c r="AO18" s="926"/>
      <c r="AP18" s="927">
        <v>10.1</v>
      </c>
      <c r="AQ18" s="928"/>
      <c r="AR18" s="926"/>
      <c r="AS18" s="927">
        <v>10.1</v>
      </c>
      <c r="AT18" s="928"/>
      <c r="AU18" s="926"/>
      <c r="AV18" s="927">
        <v>10.1</v>
      </c>
      <c r="AW18" s="928"/>
      <c r="AX18" s="926"/>
      <c r="AY18" s="927">
        <v>10.1</v>
      </c>
      <c r="AZ18" s="928"/>
      <c r="BA18" s="926"/>
      <c r="BB18" s="927">
        <v>10.1</v>
      </c>
      <c r="BC18" s="928"/>
      <c r="BD18" s="926"/>
      <c r="BE18" s="927">
        <v>10.1</v>
      </c>
      <c r="BF18" s="928"/>
      <c r="BG18" s="926"/>
      <c r="BH18" s="927">
        <v>10.1</v>
      </c>
      <c r="BI18" s="928"/>
      <c r="BJ18" s="926"/>
      <c r="BK18" s="927">
        <v>10.1</v>
      </c>
      <c r="BL18" s="928"/>
      <c r="BM18" s="926"/>
      <c r="BN18" s="927">
        <v>10.1</v>
      </c>
      <c r="BO18" s="928"/>
      <c r="BP18" s="926"/>
      <c r="BQ18" s="927">
        <v>10.1</v>
      </c>
      <c r="BR18" s="928"/>
      <c r="BS18" s="926"/>
      <c r="BT18" s="927">
        <v>10.1</v>
      </c>
      <c r="BU18" s="928"/>
      <c r="BV18" s="926"/>
      <c r="BW18" s="927">
        <v>10.1</v>
      </c>
      <c r="BX18" s="928"/>
      <c r="BY18" s="926"/>
      <c r="BZ18" s="927">
        <v>10.1</v>
      </c>
      <c r="CA18" s="928"/>
      <c r="CB18" s="618"/>
      <c r="CC18" s="618"/>
    </row>
    <row r="19" spans="1:84" ht="13.5" thickBot="1" x14ac:dyDescent="0.25">
      <c r="A19" s="2251"/>
      <c r="B19" s="2252"/>
      <c r="C19" s="2247"/>
      <c r="D19" s="2253"/>
      <c r="E19" s="2254"/>
      <c r="F19" s="2259"/>
      <c r="G19" s="2260"/>
      <c r="H19" s="811"/>
      <c r="I19" s="522" t="s">
        <v>84</v>
      </c>
      <c r="J19" s="526"/>
      <c r="K19" s="811"/>
      <c r="L19" s="522" t="s">
        <v>84</v>
      </c>
      <c r="M19" s="526"/>
      <c r="N19" s="811"/>
      <c r="O19" s="522" t="s">
        <v>84</v>
      </c>
      <c r="P19" s="526"/>
      <c r="Q19" s="811"/>
      <c r="R19" s="522" t="s">
        <v>84</v>
      </c>
      <c r="S19" s="526"/>
      <c r="T19" s="811"/>
      <c r="U19" s="522" t="s">
        <v>84</v>
      </c>
      <c r="V19" s="526"/>
      <c r="W19" s="811"/>
      <c r="X19" s="522" t="s">
        <v>84</v>
      </c>
      <c r="Y19" s="526"/>
      <c r="Z19" s="811"/>
      <c r="AA19" s="522" t="s">
        <v>84</v>
      </c>
      <c r="AB19" s="526"/>
      <c r="AC19" s="811"/>
      <c r="AD19" s="522" t="s">
        <v>84</v>
      </c>
      <c r="AE19" s="526"/>
      <c r="AF19" s="811"/>
      <c r="AG19" s="522" t="s">
        <v>84</v>
      </c>
      <c r="AH19" s="526"/>
      <c r="AI19" s="811"/>
      <c r="AJ19" s="522" t="s">
        <v>84</v>
      </c>
      <c r="AK19" s="526"/>
      <c r="AL19" s="811"/>
      <c r="AM19" s="522" t="s">
        <v>84</v>
      </c>
      <c r="AN19" s="526"/>
      <c r="AO19" s="811"/>
      <c r="AP19" s="522" t="s">
        <v>84</v>
      </c>
      <c r="AQ19" s="526"/>
      <c r="AR19" s="811"/>
      <c r="AS19" s="522" t="s">
        <v>84</v>
      </c>
      <c r="AT19" s="526"/>
      <c r="AU19" s="811"/>
      <c r="AV19" s="522" t="s">
        <v>84</v>
      </c>
      <c r="AW19" s="526"/>
      <c r="AX19" s="811"/>
      <c r="AY19" s="522" t="s">
        <v>84</v>
      </c>
      <c r="AZ19" s="526"/>
      <c r="BA19" s="811"/>
      <c r="BB19" s="522" t="s">
        <v>84</v>
      </c>
      <c r="BC19" s="526"/>
      <c r="BD19" s="811"/>
      <c r="BE19" s="522" t="s">
        <v>84</v>
      </c>
      <c r="BF19" s="526"/>
      <c r="BG19" s="811"/>
      <c r="BH19" s="522" t="s">
        <v>84</v>
      </c>
      <c r="BI19" s="526"/>
      <c r="BJ19" s="811"/>
      <c r="BK19" s="522" t="s">
        <v>84</v>
      </c>
      <c r="BL19" s="526"/>
      <c r="BM19" s="811"/>
      <c r="BN19" s="522" t="s">
        <v>84</v>
      </c>
      <c r="BO19" s="526"/>
      <c r="BP19" s="811"/>
      <c r="BQ19" s="522" t="s">
        <v>84</v>
      </c>
      <c r="BR19" s="526"/>
      <c r="BS19" s="811"/>
      <c r="BT19" s="522" t="s">
        <v>84</v>
      </c>
      <c r="BU19" s="526"/>
      <c r="BV19" s="811"/>
      <c r="BW19" s="522" t="s">
        <v>84</v>
      </c>
      <c r="BX19" s="526"/>
      <c r="BY19" s="811"/>
      <c r="BZ19" s="522" t="s">
        <v>84</v>
      </c>
      <c r="CA19" s="526"/>
      <c r="CB19" s="618"/>
      <c r="CC19" s="618"/>
    </row>
    <row r="20" spans="1:84" ht="13.5" thickBot="1" x14ac:dyDescent="0.25">
      <c r="A20" s="2253"/>
      <c r="B20" s="2254"/>
      <c r="C20" s="2248"/>
      <c r="D20" s="2261" t="s">
        <v>39</v>
      </c>
      <c r="E20" s="2262"/>
      <c r="F20" s="2262"/>
      <c r="G20" s="2263"/>
      <c r="H20" s="812"/>
      <c r="I20" s="813">
        <v>9</v>
      </c>
      <c r="J20" s="814"/>
      <c r="K20" s="812"/>
      <c r="L20" s="813">
        <v>9</v>
      </c>
      <c r="M20" s="814"/>
      <c r="N20" s="812"/>
      <c r="O20" s="813">
        <v>9</v>
      </c>
      <c r="P20" s="814"/>
      <c r="Q20" s="812"/>
      <c r="R20" s="813">
        <v>9</v>
      </c>
      <c r="S20" s="814"/>
      <c r="T20" s="812"/>
      <c r="U20" s="813">
        <v>9</v>
      </c>
      <c r="V20" s="814"/>
      <c r="W20" s="812"/>
      <c r="X20" s="813">
        <v>9</v>
      </c>
      <c r="Y20" s="814"/>
      <c r="Z20" s="812"/>
      <c r="AA20" s="813">
        <v>9</v>
      </c>
      <c r="AB20" s="814"/>
      <c r="AC20" s="812"/>
      <c r="AD20" s="813">
        <v>9</v>
      </c>
      <c r="AE20" s="814"/>
      <c r="AF20" s="812"/>
      <c r="AG20" s="813">
        <v>9</v>
      </c>
      <c r="AH20" s="814"/>
      <c r="AI20" s="812"/>
      <c r="AJ20" s="813">
        <v>9</v>
      </c>
      <c r="AK20" s="814"/>
      <c r="AL20" s="812"/>
      <c r="AM20" s="813">
        <v>9</v>
      </c>
      <c r="AN20" s="814"/>
      <c r="AO20" s="812"/>
      <c r="AP20" s="813">
        <v>9</v>
      </c>
      <c r="AQ20" s="814"/>
      <c r="AR20" s="812"/>
      <c r="AS20" s="813">
        <v>9</v>
      </c>
      <c r="AT20" s="814"/>
      <c r="AU20" s="812"/>
      <c r="AV20" s="813">
        <v>9</v>
      </c>
      <c r="AW20" s="814"/>
      <c r="AX20" s="812"/>
      <c r="AY20" s="813">
        <v>9</v>
      </c>
      <c r="AZ20" s="814"/>
      <c r="BA20" s="812"/>
      <c r="BB20" s="813">
        <v>9</v>
      </c>
      <c r="BC20" s="814"/>
      <c r="BD20" s="812"/>
      <c r="BE20" s="813">
        <v>9</v>
      </c>
      <c r="BF20" s="814"/>
      <c r="BG20" s="812"/>
      <c r="BH20" s="813">
        <v>9</v>
      </c>
      <c r="BI20" s="814"/>
      <c r="BJ20" s="812"/>
      <c r="BK20" s="813">
        <v>9</v>
      </c>
      <c r="BL20" s="814"/>
      <c r="BM20" s="812"/>
      <c r="BN20" s="813">
        <v>9</v>
      </c>
      <c r="BO20" s="814"/>
      <c r="BP20" s="812"/>
      <c r="BQ20" s="813">
        <v>9</v>
      </c>
      <c r="BR20" s="814"/>
      <c r="BS20" s="812"/>
      <c r="BT20" s="813">
        <v>9</v>
      </c>
      <c r="BU20" s="814"/>
      <c r="BV20" s="812"/>
      <c r="BW20" s="813">
        <v>9</v>
      </c>
      <c r="BX20" s="814"/>
      <c r="BY20" s="812"/>
      <c r="BZ20" s="813">
        <v>9</v>
      </c>
      <c r="CA20" s="814"/>
      <c r="CB20" s="618"/>
      <c r="CC20" s="618"/>
    </row>
    <row r="21" spans="1:84" x14ac:dyDescent="0.2">
      <c r="A21" s="2249" t="s">
        <v>100</v>
      </c>
      <c r="B21" s="2250"/>
      <c r="C21" s="2246">
        <v>0.25</v>
      </c>
      <c r="D21" s="2264" t="s">
        <v>13</v>
      </c>
      <c r="E21" s="2265"/>
      <c r="F21" s="2266"/>
      <c r="G21" s="2267"/>
      <c r="H21" s="528">
        <f>ROUND(SQRT(I21^2+J21^2)*1000/(SQRT(3)*I22),2)</f>
        <v>5.5</v>
      </c>
      <c r="I21" s="594">
        <v>3.4559999999999994E-3</v>
      </c>
      <c r="J21" s="595">
        <f>-1*-0.001488</f>
        <v>1.488E-3</v>
      </c>
      <c r="K21" s="528">
        <f>ROUND(SQRT(L21^2+M21^2)*1000/(SQRT(3)*L22),2)</f>
        <v>4.5</v>
      </c>
      <c r="L21" s="594">
        <v>2.8319999999999999E-3</v>
      </c>
      <c r="M21" s="595">
        <f>-1*-0.0012</f>
        <v>1.1999999999999999E-3</v>
      </c>
      <c r="N21" s="528">
        <f>ROUND(SQRT(O21^2+P21^2)*1000/(SQRT(3)*O22),2)</f>
        <v>3.63</v>
      </c>
      <c r="O21" s="594">
        <v>2.3040000000000001E-3</v>
      </c>
      <c r="P21" s="595">
        <f>-1*-0.000936</f>
        <v>9.3599999999999998E-4</v>
      </c>
      <c r="Q21" s="528">
        <f>ROUND(SQRT(R21^2+S21^2)*1000/(SQRT(3)*R22),2)</f>
        <v>7.41</v>
      </c>
      <c r="R21" s="594">
        <v>4.6079999999999992E-3</v>
      </c>
      <c r="S21" s="595">
        <f>-1*-0.002112</f>
        <v>2.1120000000000002E-3</v>
      </c>
      <c r="T21" s="528">
        <f>ROUND(SQRT(U21^2+V21^2)*1000/(SQRT(3)*U22),2)</f>
        <v>4.03</v>
      </c>
      <c r="U21" s="594">
        <v>2.5920000000000001E-3</v>
      </c>
      <c r="V21" s="595">
        <f>-1*-0.000936</f>
        <v>9.3599999999999998E-4</v>
      </c>
      <c r="W21" s="528">
        <f>ROUND(SQRT(X21^2+Y21^2)*1000/(SQRT(3)*X22),2)</f>
        <v>3.33</v>
      </c>
      <c r="X21" s="594">
        <v>2.1840000000000002E-3</v>
      </c>
      <c r="Y21" s="595">
        <f>-1*-0.000648</f>
        <v>6.4800000000000003E-4</v>
      </c>
      <c r="Z21" s="528">
        <f>ROUND(SQRT(AA21^2+AB21^2)*1000/(SQRT(3)*AA22),2)</f>
        <v>3.86</v>
      </c>
      <c r="AA21" s="594">
        <v>2.496E-3</v>
      </c>
      <c r="AB21" s="595">
        <f>-1*-0.000864</f>
        <v>8.6399999999999997E-4</v>
      </c>
      <c r="AC21" s="528">
        <f>ROUND(SQRT(AD21^2+AE21^2)*1000/(SQRT(3)*AD22),2)</f>
        <v>5.08</v>
      </c>
      <c r="AD21" s="594">
        <v>3.2160000000000001E-3</v>
      </c>
      <c r="AE21" s="595">
        <f>-1*-0.00132</f>
        <v>1.32E-3</v>
      </c>
      <c r="AF21" s="528">
        <f>ROUND(SQRT(AG21^2+AH21^2)*1000/(SQRT(3)*AG22),2)</f>
        <v>6.11</v>
      </c>
      <c r="AG21" s="594">
        <v>3.8159999999999999E-3</v>
      </c>
      <c r="AH21" s="595">
        <f>-1*-0.001704</f>
        <v>1.704E-3</v>
      </c>
      <c r="AI21" s="528">
        <f>ROUND(SQRT(AJ21^2+AK21^2)*1000/(SQRT(3)*AJ22),2)</f>
        <v>3.62</v>
      </c>
      <c r="AJ21" s="594">
        <v>2.3519999999999999E-3</v>
      </c>
      <c r="AK21" s="595">
        <f>-1*-0.000768</f>
        <v>7.6800000000000002E-4</v>
      </c>
      <c r="AL21" s="528">
        <f>ROUND(SQRT(AM21^2+AN21^2)*1000/(SQRT(3)*AM22),2)</f>
        <v>5.64</v>
      </c>
      <c r="AM21" s="594">
        <v>3.552E-3</v>
      </c>
      <c r="AN21" s="595">
        <f>-1*-0.001512</f>
        <v>1.5120000000000001E-3</v>
      </c>
      <c r="AO21" s="528">
        <f>ROUND(SQRT(AP21^2+AQ21^2)*1000/(SQRT(3)*AP22),2)</f>
        <v>4.7300000000000004</v>
      </c>
      <c r="AP21" s="594">
        <v>3.0479999999999999E-3</v>
      </c>
      <c r="AQ21" s="595">
        <f>-1*-0.00108</f>
        <v>1.08E-3</v>
      </c>
      <c r="AR21" s="528">
        <f>ROUND(SQRT(AS21^2+AT21^2)*1000/(SQRT(3)*AS22),2)</f>
        <v>3.91</v>
      </c>
      <c r="AS21" s="594">
        <v>2.5440000000000003E-3</v>
      </c>
      <c r="AT21" s="595">
        <f>-1*-0.000816</f>
        <v>8.1599999999999999E-4</v>
      </c>
      <c r="AU21" s="528">
        <f>ROUND(SQRT(AV21^2+AW21^2)*1000/(SQRT(3)*AV22),2)</f>
        <v>5.56</v>
      </c>
      <c r="AV21" s="594">
        <v>3.5040000000000002E-3</v>
      </c>
      <c r="AW21" s="595">
        <f>-1*-0.001488</f>
        <v>1.488E-3</v>
      </c>
      <c r="AX21" s="528">
        <f>ROUND(SQRT(AY21^2+AZ21^2)*1000/(SQRT(3)*AY22),2)</f>
        <v>5.17</v>
      </c>
      <c r="AY21" s="594">
        <v>3.2640000000000004E-3</v>
      </c>
      <c r="AZ21" s="595">
        <f>-1*-0.001368</f>
        <v>1.3680000000000001E-3</v>
      </c>
      <c r="BA21" s="528">
        <f>ROUND(SQRT(BB21^2+BC21^2)*1000/(SQRT(3)*BB22),2)</f>
        <v>4.4000000000000004</v>
      </c>
      <c r="BB21" s="594">
        <v>2.856E-3</v>
      </c>
      <c r="BC21" s="595">
        <f>-1*-0.00096</f>
        <v>9.6000000000000002E-4</v>
      </c>
      <c r="BD21" s="528">
        <f>ROUND(SQRT(BE21^2+BF21^2)*1000/(SQRT(3)*BE22),2)</f>
        <v>3.85</v>
      </c>
      <c r="BE21" s="594">
        <v>2.496E-3</v>
      </c>
      <c r="BF21" s="595">
        <f>-1*-0.00084</f>
        <v>8.4000000000000003E-4</v>
      </c>
      <c r="BG21" s="528">
        <f>ROUND(SQRT(BH21^2+BI21^2)*1000/(SQRT(3)*BH22),2)</f>
        <v>6.15</v>
      </c>
      <c r="BH21" s="594">
        <v>3.8399999999999997E-3</v>
      </c>
      <c r="BI21" s="595">
        <f>-1*-0.001728</f>
        <v>1.7279999999999999E-3</v>
      </c>
      <c r="BJ21" s="528">
        <f>ROUND(SQRT(BK21^2+BL21^2)*1000/(SQRT(3)*BK22),2)</f>
        <v>3.81</v>
      </c>
      <c r="BK21" s="594">
        <v>2.4240000000000004E-3</v>
      </c>
      <c r="BL21" s="595">
        <f>-1*-0.00096</f>
        <v>9.6000000000000002E-4</v>
      </c>
      <c r="BM21" s="528">
        <f>ROUND(SQRT(BN21^2+BO21^2)*1000/(SQRT(3)*BN22),2)</f>
        <v>3.73</v>
      </c>
      <c r="BN21" s="594">
        <v>2.4239999999999999E-3</v>
      </c>
      <c r="BO21" s="595">
        <f>-1*-0.000792</f>
        <v>7.9199999999999995E-4</v>
      </c>
      <c r="BP21" s="528">
        <f>ROUND(SQRT(BQ21^2+BR21^2)*1000/(SQRT(3)*BQ22),2)</f>
        <v>6.21</v>
      </c>
      <c r="BQ21" s="594">
        <v>3.9119999999999997E-3</v>
      </c>
      <c r="BR21" s="595">
        <f>-1*-0.001656</f>
        <v>1.6559999999999999E-3</v>
      </c>
      <c r="BS21" s="528">
        <f>ROUND(SQRT(BT21^2+BU21^2)*1000/(SQRT(3)*BT22),2)</f>
        <v>4.34</v>
      </c>
      <c r="BT21" s="594">
        <v>2.784E-3</v>
      </c>
      <c r="BU21" s="595">
        <f>-1*-0.001032</f>
        <v>1.0319999999999999E-3</v>
      </c>
      <c r="BV21" s="528">
        <f>ROUND(SQRT(BW21^2+BX21^2)*1000/(SQRT(3)*BW22),2)</f>
        <v>3.38</v>
      </c>
      <c r="BW21" s="594">
        <v>2.1840000000000002E-3</v>
      </c>
      <c r="BX21" s="595">
        <f>-1*-0.000768</f>
        <v>7.6800000000000002E-4</v>
      </c>
      <c r="BY21" s="528">
        <f>ROUND(SQRT(BZ21^2+CA21^2)*1000/(SQRT(3)*BZ22),2)</f>
        <v>4.8099999999999996</v>
      </c>
      <c r="BZ21" s="594">
        <v>3.0240000000000002E-3</v>
      </c>
      <c r="CA21" s="595">
        <f>-1*-0.001296</f>
        <v>1.2960000000000001E-3</v>
      </c>
      <c r="CB21" s="618">
        <f>SUM(BZ21,BW21,BT21,BQ21,BN21,BK21,BH21,BE21,BB21,AY21,AV21,AS21,AP21,AM21,AJ21,AG21,AD21,AA21,X21,U21,R21,O21,L21,I21)</f>
        <v>7.1711999999999984E-2</v>
      </c>
      <c r="CC21" s="618">
        <f>SUM(CA21,BX21,BU21,BR21,BO21,BL21,BI21,BF21,BC21,AZ21,AW21,AT21,AQ21,AN21,AK21,AH21,AE21,AB21,Y21,V21,S21,P21,M21,J21)</f>
        <v>2.8271999999999999E-2</v>
      </c>
      <c r="CF21" s="529"/>
    </row>
    <row r="22" spans="1:84" ht="13.5" thickBot="1" x14ac:dyDescent="0.25">
      <c r="A22" s="2253"/>
      <c r="B22" s="2254"/>
      <c r="C22" s="2248"/>
      <c r="D22" s="2270" t="s">
        <v>14</v>
      </c>
      <c r="E22" s="2271"/>
      <c r="F22" s="2268"/>
      <c r="G22" s="2269"/>
      <c r="H22" s="929"/>
      <c r="I22" s="930">
        <v>0.39500000000000002</v>
      </c>
      <c r="J22" s="931"/>
      <c r="K22" s="929"/>
      <c r="L22" s="930">
        <v>0.39500000000000002</v>
      </c>
      <c r="M22" s="931"/>
      <c r="N22" s="929"/>
      <c r="O22" s="930">
        <v>0.39500000000000002</v>
      </c>
      <c r="P22" s="931"/>
      <c r="Q22" s="929"/>
      <c r="R22" s="930">
        <v>0.39500000000000002</v>
      </c>
      <c r="S22" s="931"/>
      <c r="T22" s="929"/>
      <c r="U22" s="930">
        <v>0.39500000000000002</v>
      </c>
      <c r="V22" s="931"/>
      <c r="W22" s="929"/>
      <c r="X22" s="930">
        <v>0.39500000000000002</v>
      </c>
      <c r="Y22" s="931"/>
      <c r="Z22" s="929"/>
      <c r="AA22" s="930">
        <v>0.39500000000000002</v>
      </c>
      <c r="AB22" s="931"/>
      <c r="AC22" s="929"/>
      <c r="AD22" s="930">
        <v>0.39500000000000002</v>
      </c>
      <c r="AE22" s="931"/>
      <c r="AF22" s="929"/>
      <c r="AG22" s="930">
        <v>0.39500000000000002</v>
      </c>
      <c r="AH22" s="931"/>
      <c r="AI22" s="929"/>
      <c r="AJ22" s="930">
        <v>0.39500000000000002</v>
      </c>
      <c r="AK22" s="931"/>
      <c r="AL22" s="929"/>
      <c r="AM22" s="930">
        <v>0.39500000000000002</v>
      </c>
      <c r="AN22" s="931"/>
      <c r="AO22" s="929"/>
      <c r="AP22" s="930">
        <v>0.39500000000000002</v>
      </c>
      <c r="AQ22" s="931"/>
      <c r="AR22" s="929"/>
      <c r="AS22" s="930">
        <v>0.39500000000000002</v>
      </c>
      <c r="AT22" s="931"/>
      <c r="AU22" s="929"/>
      <c r="AV22" s="930">
        <v>0.39500000000000002</v>
      </c>
      <c r="AW22" s="931"/>
      <c r="AX22" s="929"/>
      <c r="AY22" s="930">
        <v>0.39500000000000002</v>
      </c>
      <c r="AZ22" s="931"/>
      <c r="BA22" s="929"/>
      <c r="BB22" s="930">
        <v>0.39500000000000002</v>
      </c>
      <c r="BC22" s="931"/>
      <c r="BD22" s="929"/>
      <c r="BE22" s="930">
        <v>0.39500000000000002</v>
      </c>
      <c r="BF22" s="931"/>
      <c r="BG22" s="929"/>
      <c r="BH22" s="930">
        <v>0.39500000000000002</v>
      </c>
      <c r="BI22" s="931"/>
      <c r="BJ22" s="929"/>
      <c r="BK22" s="930">
        <v>0.39500000000000002</v>
      </c>
      <c r="BL22" s="931"/>
      <c r="BM22" s="929"/>
      <c r="BN22" s="930">
        <v>0.39500000000000002</v>
      </c>
      <c r="BO22" s="931"/>
      <c r="BP22" s="929"/>
      <c r="BQ22" s="930">
        <v>0.39500000000000002</v>
      </c>
      <c r="BR22" s="931"/>
      <c r="BS22" s="929"/>
      <c r="BT22" s="930">
        <v>0.39500000000000002</v>
      </c>
      <c r="BU22" s="931"/>
      <c r="BV22" s="929"/>
      <c r="BW22" s="930">
        <v>0.39500000000000002</v>
      </c>
      <c r="BX22" s="931"/>
      <c r="BY22" s="929"/>
      <c r="BZ22" s="930">
        <v>0.39500000000000002</v>
      </c>
      <c r="CA22" s="931"/>
      <c r="CB22" s="618"/>
      <c r="CC22" s="618"/>
    </row>
    <row r="23" spans="1:84" x14ac:dyDescent="0.2">
      <c r="A23" s="2249" t="s">
        <v>101</v>
      </c>
      <c r="B23" s="2250"/>
      <c r="C23" s="2246">
        <v>0.25</v>
      </c>
      <c r="D23" s="2264" t="s">
        <v>13</v>
      </c>
      <c r="E23" s="2265"/>
      <c r="F23" s="2266"/>
      <c r="G23" s="2267"/>
      <c r="H23" s="528">
        <f>ROUND(SQRT(I23^2+J23^2)*1000/(SQRT(3)*I24),2)</f>
        <v>17.41</v>
      </c>
      <c r="I23" s="594">
        <v>1.176E-2</v>
      </c>
      <c r="J23" s="595">
        <f>-1*-0.00024</f>
        <v>2.4000000000000001E-4</v>
      </c>
      <c r="K23" s="528">
        <f>ROUND(SQRT(L23^2+M23^2)*1000/(SQRT(3)*L24),2)</f>
        <v>16.239999999999998</v>
      </c>
      <c r="L23" s="594">
        <v>1.0968E-2</v>
      </c>
      <c r="M23" s="595">
        <f>-1*-0.000216</f>
        <v>2.1599999999999999E-4</v>
      </c>
      <c r="N23" s="528">
        <f>ROUND(SQRT(O23^2+P23^2)*1000/(SQRT(3)*O24),2)</f>
        <v>27.72</v>
      </c>
      <c r="O23" s="594">
        <v>1.8720000000000001E-2</v>
      </c>
      <c r="P23" s="595">
        <f>-1*-0.000288</f>
        <v>2.8800000000000001E-4</v>
      </c>
      <c r="Q23" s="528">
        <f>ROUND(SQRT(R23^2+S23^2)*1000/(SQRT(3)*R24),2)</f>
        <v>20.61</v>
      </c>
      <c r="R23" s="594">
        <v>1.392E-2</v>
      </c>
      <c r="S23" s="595">
        <f>-1*-0.000264</f>
        <v>2.6400000000000002E-4</v>
      </c>
      <c r="T23" s="528">
        <f>ROUND(SQRT(U23^2+V23^2)*1000/(SQRT(3)*U24),2)</f>
        <v>12.37</v>
      </c>
      <c r="U23" s="594">
        <v>8.352E-3</v>
      </c>
      <c r="V23" s="595">
        <f>-1*-0.000216</f>
        <v>2.1599999999999999E-4</v>
      </c>
      <c r="W23" s="528">
        <f>ROUND(SQRT(X23^2+Y23^2)*1000/(SQRT(3)*X24),2)</f>
        <v>27.75</v>
      </c>
      <c r="X23" s="594">
        <v>1.8744E-2</v>
      </c>
      <c r="Y23" s="595">
        <f>-1*-0.000264</f>
        <v>2.6400000000000002E-4</v>
      </c>
      <c r="Z23" s="528">
        <f>ROUND(SQRT(AA23^2+AB23^2)*1000/(SQRT(3)*AA24),2)</f>
        <v>18.62</v>
      </c>
      <c r="AA23" s="594">
        <v>1.2576E-2</v>
      </c>
      <c r="AB23" s="595">
        <f>-1*-0.00024</f>
        <v>2.4000000000000001E-4</v>
      </c>
      <c r="AC23" s="528">
        <f>ROUND(SQRT(AD23^2+AE23^2)*1000/(SQRT(3)*AD24),2)</f>
        <v>12.37</v>
      </c>
      <c r="AD23" s="594">
        <v>8.352E-3</v>
      </c>
      <c r="AE23" s="595">
        <f>-1*-0.000216</f>
        <v>2.1599999999999999E-4</v>
      </c>
      <c r="AF23" s="528">
        <f>ROUND(SQRT(AG23^2+AH23^2)*1000/(SQRT(3)*AG24),2)</f>
        <v>27.32</v>
      </c>
      <c r="AG23" s="594">
        <v>1.8456E-2</v>
      </c>
      <c r="AH23" s="595">
        <f>-1*-0.000264</f>
        <v>2.6400000000000002E-4</v>
      </c>
      <c r="AI23" s="528">
        <f>ROUND(SQRT(AJ23^2+AK23^2)*1000/(SQRT(3)*AJ24),2)</f>
        <v>16.03</v>
      </c>
      <c r="AJ23" s="594">
        <v>1.0824E-2</v>
      </c>
      <c r="AK23" s="595">
        <f>-1*-0.000216</f>
        <v>2.1599999999999999E-4</v>
      </c>
      <c r="AL23" s="528">
        <f>ROUND(SQRT(AM23^2+AN23^2)*1000/(SQRT(3)*AM24),2)</f>
        <v>12.23</v>
      </c>
      <c r="AM23" s="594">
        <v>8.2559999999999995E-3</v>
      </c>
      <c r="AN23" s="595">
        <f>-1*-0.000216</f>
        <v>2.1599999999999999E-4</v>
      </c>
      <c r="AO23" s="528">
        <f>ROUND(SQRT(AP23^2+AQ23^2)*1000/(SQRT(3)*AP24),2)</f>
        <v>27.43</v>
      </c>
      <c r="AP23" s="594">
        <v>1.8527999999999999E-2</v>
      </c>
      <c r="AQ23" s="595">
        <f>-1*-0.000264</f>
        <v>2.6400000000000002E-4</v>
      </c>
      <c r="AR23" s="528">
        <f>ROUND(SQRT(AS23^2+AT23^2)*1000/(SQRT(3)*AS24),2)</f>
        <v>12.69</v>
      </c>
      <c r="AS23" s="594">
        <v>8.5679999999999992E-3</v>
      </c>
      <c r="AT23" s="595">
        <f>-1*-0.000192</f>
        <v>1.92E-4</v>
      </c>
      <c r="AU23" s="528">
        <f>ROUND(SQRT(AV23^2+AW23^2)*1000/(SQRT(3)*AV24),2)</f>
        <v>13.86</v>
      </c>
      <c r="AV23" s="594">
        <v>9.3600000000000003E-3</v>
      </c>
      <c r="AW23" s="595">
        <f>-1*-0.00024</f>
        <v>2.4000000000000001E-4</v>
      </c>
      <c r="AX23" s="528">
        <f>ROUND(SQRT(AY23^2+AZ23^2)*1000/(SQRT(3)*AY24),2)</f>
        <v>27.29</v>
      </c>
      <c r="AY23" s="594">
        <v>1.8431999999999997E-2</v>
      </c>
      <c r="AZ23" s="595">
        <f>-1*-0.00024</f>
        <v>2.4000000000000001E-4</v>
      </c>
      <c r="BA23" s="528">
        <f>ROUND(SQRT(BB23^2+BC23^2)*1000/(SQRT(3)*BB24),2)</f>
        <v>10.38</v>
      </c>
      <c r="BB23" s="594">
        <v>7.0080000000000012E-3</v>
      </c>
      <c r="BC23" s="595">
        <f>-1*-0.000216</f>
        <v>2.1599999999999999E-4</v>
      </c>
      <c r="BD23" s="528">
        <f>ROUND(SQRT(BE23^2+BF23^2)*1000/(SQRT(3)*BE24),2)</f>
        <v>16.63</v>
      </c>
      <c r="BE23" s="594">
        <v>1.1232000000000001E-2</v>
      </c>
      <c r="BF23" s="595">
        <f>-1*-0.00024</f>
        <v>2.4000000000000001E-4</v>
      </c>
      <c r="BG23" s="528">
        <f>ROUND(SQRT(BH23^2+BI23^2)*1000/(SQRT(3)*BH24),2)</f>
        <v>27.04</v>
      </c>
      <c r="BH23" s="594">
        <v>1.8263999999999999E-2</v>
      </c>
      <c r="BI23" s="595">
        <f>-1*-0.000264</f>
        <v>2.6400000000000002E-4</v>
      </c>
      <c r="BJ23" s="528">
        <f>ROUND(SQRT(BK23^2+BL23^2)*1000/(SQRT(3)*BK24),2)</f>
        <v>7.54</v>
      </c>
      <c r="BK23" s="594">
        <v>5.0880000000000005E-3</v>
      </c>
      <c r="BL23" s="595">
        <f>-1*-0.000192</f>
        <v>1.92E-4</v>
      </c>
      <c r="BM23" s="528">
        <f>ROUND(SQRT(BN23^2+BO23^2)*1000/(SQRT(3)*BN24),2)</f>
        <v>18.440000000000001</v>
      </c>
      <c r="BN23" s="594">
        <v>1.2456E-2</v>
      </c>
      <c r="BO23" s="595">
        <f>-1*-0.00024</f>
        <v>2.4000000000000001E-4</v>
      </c>
      <c r="BP23" s="528">
        <f>ROUND(SQRT(BQ23^2+BR23^2)*1000/(SQRT(3)*BQ24),2)</f>
        <v>23.84</v>
      </c>
      <c r="BQ23" s="594">
        <v>1.6104E-2</v>
      </c>
      <c r="BR23" s="595">
        <f>-1*-0.00024</f>
        <v>2.4000000000000001E-4</v>
      </c>
      <c r="BS23" s="528">
        <f>ROUND(SQRT(BT23^2+BU23^2)*1000/(SQRT(3)*BT24),2)</f>
        <v>7.57</v>
      </c>
      <c r="BT23" s="594">
        <v>5.1120000000000002E-3</v>
      </c>
      <c r="BU23" s="595">
        <f>-1*-0.000192</f>
        <v>1.92E-4</v>
      </c>
      <c r="BV23" s="528">
        <f>ROUND(SQRT(BW23^2+BX23^2)*1000/(SQRT(3)*BW24),2)</f>
        <v>21.78</v>
      </c>
      <c r="BW23" s="594">
        <v>1.4711999999999999E-2</v>
      </c>
      <c r="BX23" s="595">
        <f>-1*-0.00024</f>
        <v>2.4000000000000001E-4</v>
      </c>
      <c r="BY23" s="528">
        <f>ROUND(SQRT(BZ23^2+CA23^2)*1000/(SQRT(3)*BZ24),2)</f>
        <v>21.04</v>
      </c>
      <c r="BZ23" s="594">
        <v>1.4208E-2</v>
      </c>
      <c r="CA23" s="595">
        <f>-1*-0.00024</f>
        <v>2.4000000000000001E-4</v>
      </c>
      <c r="CB23" s="618">
        <f>SUM(BZ23,BW23,BT23,BQ23,BN23,BK23,BH23,BE23,BB23,AY23,AV23,AS23,AP23,AM23,AJ23,AG23,AD23,AA23,X23,U23,R23,O23,L23,I23)</f>
        <v>0.3</v>
      </c>
      <c r="CC23" s="618">
        <f>SUM(CA23,BX23,BU23,BR23,BO23,BL23,BI23,BF23,BC23,AZ23,AW23,AT23,AQ23,AN23,AK23,AH23,AE23,AB23,Y23,V23,S23,P23,M23,J23)</f>
        <v>5.64E-3</v>
      </c>
      <c r="CF23" s="529"/>
    </row>
    <row r="24" spans="1:84" ht="13.5" thickBot="1" x14ac:dyDescent="0.25">
      <c r="A24" s="2253"/>
      <c r="B24" s="2254"/>
      <c r="C24" s="2248"/>
      <c r="D24" s="2270" t="s">
        <v>14</v>
      </c>
      <c r="E24" s="2271"/>
      <c r="F24" s="2268"/>
      <c r="G24" s="2269"/>
      <c r="H24" s="929"/>
      <c r="I24" s="930">
        <v>0.39</v>
      </c>
      <c r="J24" s="931"/>
      <c r="K24" s="929"/>
      <c r="L24" s="930">
        <v>0.39</v>
      </c>
      <c r="M24" s="931"/>
      <c r="N24" s="929"/>
      <c r="O24" s="930">
        <v>0.39</v>
      </c>
      <c r="P24" s="931"/>
      <c r="Q24" s="929"/>
      <c r="R24" s="930">
        <v>0.39</v>
      </c>
      <c r="S24" s="931"/>
      <c r="T24" s="929"/>
      <c r="U24" s="930">
        <v>0.39</v>
      </c>
      <c r="V24" s="931"/>
      <c r="W24" s="929"/>
      <c r="X24" s="930">
        <v>0.39</v>
      </c>
      <c r="Y24" s="931"/>
      <c r="Z24" s="929"/>
      <c r="AA24" s="930">
        <v>0.39</v>
      </c>
      <c r="AB24" s="931"/>
      <c r="AC24" s="929"/>
      <c r="AD24" s="930">
        <v>0.39</v>
      </c>
      <c r="AE24" s="931"/>
      <c r="AF24" s="929"/>
      <c r="AG24" s="930">
        <v>0.39</v>
      </c>
      <c r="AH24" s="931"/>
      <c r="AI24" s="929"/>
      <c r="AJ24" s="930">
        <v>0.39</v>
      </c>
      <c r="AK24" s="931"/>
      <c r="AL24" s="929"/>
      <c r="AM24" s="930">
        <v>0.39</v>
      </c>
      <c r="AN24" s="931"/>
      <c r="AO24" s="929"/>
      <c r="AP24" s="930">
        <v>0.39</v>
      </c>
      <c r="AQ24" s="931"/>
      <c r="AR24" s="929"/>
      <c r="AS24" s="930">
        <v>0.39</v>
      </c>
      <c r="AT24" s="931"/>
      <c r="AU24" s="929"/>
      <c r="AV24" s="930">
        <v>0.39</v>
      </c>
      <c r="AW24" s="931"/>
      <c r="AX24" s="929"/>
      <c r="AY24" s="930">
        <v>0.39</v>
      </c>
      <c r="AZ24" s="931"/>
      <c r="BA24" s="929"/>
      <c r="BB24" s="930">
        <v>0.39</v>
      </c>
      <c r="BC24" s="931"/>
      <c r="BD24" s="929"/>
      <c r="BE24" s="930">
        <v>0.39</v>
      </c>
      <c r="BF24" s="931"/>
      <c r="BG24" s="929"/>
      <c r="BH24" s="930">
        <v>0.39</v>
      </c>
      <c r="BI24" s="931"/>
      <c r="BJ24" s="929"/>
      <c r="BK24" s="930">
        <v>0.39</v>
      </c>
      <c r="BL24" s="931"/>
      <c r="BM24" s="929"/>
      <c r="BN24" s="930">
        <v>0.39</v>
      </c>
      <c r="BO24" s="931"/>
      <c r="BP24" s="929"/>
      <c r="BQ24" s="930">
        <v>0.39</v>
      </c>
      <c r="BR24" s="931"/>
      <c r="BS24" s="929"/>
      <c r="BT24" s="930">
        <v>0.39</v>
      </c>
      <c r="BU24" s="931"/>
      <c r="BV24" s="929"/>
      <c r="BW24" s="930">
        <v>0.39</v>
      </c>
      <c r="BX24" s="931"/>
      <c r="BY24" s="929"/>
      <c r="BZ24" s="930">
        <v>0.39</v>
      </c>
      <c r="CA24" s="931"/>
      <c r="CB24" s="618"/>
      <c r="CC24" s="618"/>
    </row>
    <row r="25" spans="1:84" x14ac:dyDescent="0.2">
      <c r="A25" s="2272" t="s">
        <v>35</v>
      </c>
      <c r="B25" s="2272"/>
      <c r="C25" s="2273"/>
      <c r="D25" s="2276" t="s">
        <v>33</v>
      </c>
      <c r="E25" s="2277"/>
      <c r="F25" s="2277"/>
      <c r="G25" s="2278"/>
      <c r="H25" s="932" t="s">
        <v>84</v>
      </c>
      <c r="I25" s="933" t="s">
        <v>84</v>
      </c>
      <c r="J25" s="934" t="s">
        <v>84</v>
      </c>
      <c r="K25" s="932" t="s">
        <v>84</v>
      </c>
      <c r="L25" s="933" t="s">
        <v>84</v>
      </c>
      <c r="M25" s="934" t="s">
        <v>84</v>
      </c>
      <c r="N25" s="932" t="s">
        <v>84</v>
      </c>
      <c r="O25" s="933" t="s">
        <v>84</v>
      </c>
      <c r="P25" s="934" t="s">
        <v>84</v>
      </c>
      <c r="Q25" s="932" t="s">
        <v>84</v>
      </c>
      <c r="R25" s="933" t="s">
        <v>84</v>
      </c>
      <c r="S25" s="934" t="s">
        <v>84</v>
      </c>
      <c r="T25" s="932" t="s">
        <v>84</v>
      </c>
      <c r="U25" s="933" t="s">
        <v>84</v>
      </c>
      <c r="V25" s="934" t="s">
        <v>84</v>
      </c>
      <c r="W25" s="932" t="s">
        <v>84</v>
      </c>
      <c r="X25" s="933" t="s">
        <v>84</v>
      </c>
      <c r="Y25" s="934" t="s">
        <v>84</v>
      </c>
      <c r="Z25" s="932" t="s">
        <v>84</v>
      </c>
      <c r="AA25" s="933" t="s">
        <v>84</v>
      </c>
      <c r="AB25" s="934" t="s">
        <v>84</v>
      </c>
      <c r="AC25" s="932" t="s">
        <v>84</v>
      </c>
      <c r="AD25" s="933" t="s">
        <v>84</v>
      </c>
      <c r="AE25" s="934" t="s">
        <v>84</v>
      </c>
      <c r="AF25" s="932" t="s">
        <v>84</v>
      </c>
      <c r="AG25" s="933" t="s">
        <v>84</v>
      </c>
      <c r="AH25" s="934" t="s">
        <v>84</v>
      </c>
      <c r="AI25" s="932" t="s">
        <v>84</v>
      </c>
      <c r="AJ25" s="933" t="s">
        <v>84</v>
      </c>
      <c r="AK25" s="934" t="s">
        <v>84</v>
      </c>
      <c r="AL25" s="932" t="s">
        <v>84</v>
      </c>
      <c r="AM25" s="933" t="s">
        <v>84</v>
      </c>
      <c r="AN25" s="934" t="s">
        <v>84</v>
      </c>
      <c r="AO25" s="932" t="s">
        <v>84</v>
      </c>
      <c r="AP25" s="933" t="s">
        <v>84</v>
      </c>
      <c r="AQ25" s="934" t="s">
        <v>84</v>
      </c>
      <c r="AR25" s="932" t="s">
        <v>84</v>
      </c>
      <c r="AS25" s="933" t="s">
        <v>84</v>
      </c>
      <c r="AT25" s="934" t="s">
        <v>84</v>
      </c>
      <c r="AU25" s="932" t="s">
        <v>84</v>
      </c>
      <c r="AV25" s="933" t="s">
        <v>84</v>
      </c>
      <c r="AW25" s="934" t="s">
        <v>84</v>
      </c>
      <c r="AX25" s="932" t="s">
        <v>84</v>
      </c>
      <c r="AY25" s="933" t="s">
        <v>84</v>
      </c>
      <c r="AZ25" s="934" t="s">
        <v>84</v>
      </c>
      <c r="BA25" s="932" t="s">
        <v>84</v>
      </c>
      <c r="BB25" s="933" t="s">
        <v>84</v>
      </c>
      <c r="BC25" s="934" t="s">
        <v>84</v>
      </c>
      <c r="BD25" s="932" t="s">
        <v>84</v>
      </c>
      <c r="BE25" s="933" t="s">
        <v>84</v>
      </c>
      <c r="BF25" s="934" t="s">
        <v>84</v>
      </c>
      <c r="BG25" s="932" t="s">
        <v>84</v>
      </c>
      <c r="BH25" s="933" t="s">
        <v>84</v>
      </c>
      <c r="BI25" s="934" t="s">
        <v>84</v>
      </c>
      <c r="BJ25" s="932" t="s">
        <v>84</v>
      </c>
      <c r="BK25" s="933" t="s">
        <v>84</v>
      </c>
      <c r="BL25" s="934" t="s">
        <v>84</v>
      </c>
      <c r="BM25" s="932" t="s">
        <v>84</v>
      </c>
      <c r="BN25" s="933" t="s">
        <v>84</v>
      </c>
      <c r="BO25" s="934" t="s">
        <v>84</v>
      </c>
      <c r="BP25" s="932" t="s">
        <v>84</v>
      </c>
      <c r="BQ25" s="933" t="s">
        <v>84</v>
      </c>
      <c r="BR25" s="934" t="s">
        <v>84</v>
      </c>
      <c r="BS25" s="932" t="s">
        <v>84</v>
      </c>
      <c r="BT25" s="933" t="s">
        <v>84</v>
      </c>
      <c r="BU25" s="934" t="s">
        <v>84</v>
      </c>
      <c r="BV25" s="932" t="s">
        <v>84</v>
      </c>
      <c r="BW25" s="933" t="s">
        <v>84</v>
      </c>
      <c r="BX25" s="934" t="s">
        <v>84</v>
      </c>
      <c r="BY25" s="932" t="s">
        <v>84</v>
      </c>
      <c r="BZ25" s="933" t="s">
        <v>84</v>
      </c>
      <c r="CA25" s="934" t="s">
        <v>84</v>
      </c>
      <c r="CB25" s="618"/>
      <c r="CC25" s="618"/>
    </row>
    <row r="26" spans="1:84" ht="13.5" thickBot="1" x14ac:dyDescent="0.25">
      <c r="A26" s="2274"/>
      <c r="B26" s="2274"/>
      <c r="C26" s="2275"/>
      <c r="D26" s="2279" t="s">
        <v>34</v>
      </c>
      <c r="E26" s="2280"/>
      <c r="F26" s="2280"/>
      <c r="G26" s="2281"/>
      <c r="H26" s="935">
        <f t="shared" ref="H26:BS26" si="0">SUM(H8:H9,H15:H16)</f>
        <v>339.75</v>
      </c>
      <c r="I26" s="820">
        <f>SUM(I8:I9,I15:I16)</f>
        <v>5.7918160000000007</v>
      </c>
      <c r="J26" s="936">
        <f t="shared" si="0"/>
        <v>1.4559279999999999</v>
      </c>
      <c r="K26" s="935">
        <f t="shared" si="0"/>
        <v>331</v>
      </c>
      <c r="L26" s="820">
        <f t="shared" si="0"/>
        <v>5.6336000000000004</v>
      </c>
      <c r="M26" s="936">
        <f t="shared" si="0"/>
        <v>1.4566159999999999</v>
      </c>
      <c r="N26" s="935">
        <f t="shared" si="0"/>
        <v>325.65999999999997</v>
      </c>
      <c r="O26" s="820">
        <f t="shared" si="0"/>
        <v>5.5376240000000001</v>
      </c>
      <c r="P26" s="936">
        <f t="shared" si="0"/>
        <v>1.4524239999999999</v>
      </c>
      <c r="Q26" s="935">
        <f t="shared" si="0"/>
        <v>321.60000000000002</v>
      </c>
      <c r="R26" s="820">
        <f t="shared" si="0"/>
        <v>5.4649280000000005</v>
      </c>
      <c r="S26" s="936">
        <f t="shared" si="0"/>
        <v>1.4503759999999999</v>
      </c>
      <c r="T26" s="935">
        <f t="shared" si="0"/>
        <v>322.42999999999995</v>
      </c>
      <c r="U26" s="820">
        <f t="shared" si="0"/>
        <v>5.4815439999999995</v>
      </c>
      <c r="V26" s="936">
        <f t="shared" si="0"/>
        <v>1.4443519999999999</v>
      </c>
      <c r="W26" s="935">
        <f t="shared" si="0"/>
        <v>328.69</v>
      </c>
      <c r="X26" s="820">
        <f t="shared" si="0"/>
        <v>5.5941279999999995</v>
      </c>
      <c r="Y26" s="936">
        <f t="shared" si="0"/>
        <v>1.448712</v>
      </c>
      <c r="Z26" s="935">
        <f t="shared" si="0"/>
        <v>349.33</v>
      </c>
      <c r="AA26" s="820">
        <f t="shared" si="0"/>
        <v>5.9614720000000005</v>
      </c>
      <c r="AB26" s="936">
        <f t="shared" si="0"/>
        <v>1.4719039999999999</v>
      </c>
      <c r="AC26" s="935">
        <f t="shared" si="0"/>
        <v>368.27</v>
      </c>
      <c r="AD26" s="820">
        <f t="shared" si="0"/>
        <v>6.3005680000000002</v>
      </c>
      <c r="AE26" s="936">
        <f t="shared" si="0"/>
        <v>1.481136</v>
      </c>
      <c r="AF26" s="935">
        <f t="shared" si="0"/>
        <v>381.28999999999996</v>
      </c>
      <c r="AG26" s="820">
        <f t="shared" si="0"/>
        <v>6.5290720000000011</v>
      </c>
      <c r="AH26" s="936">
        <f t="shared" si="0"/>
        <v>1.5029680000000001</v>
      </c>
      <c r="AI26" s="935">
        <f t="shared" si="0"/>
        <v>386.26</v>
      </c>
      <c r="AJ26" s="820">
        <f t="shared" si="0"/>
        <v>6.6139759999999992</v>
      </c>
      <c r="AK26" s="936">
        <f t="shared" si="0"/>
        <v>1.5205839999999999</v>
      </c>
      <c r="AL26" s="935">
        <f t="shared" si="0"/>
        <v>383.32</v>
      </c>
      <c r="AM26" s="820">
        <f t="shared" si="0"/>
        <v>6.5540079999999987</v>
      </c>
      <c r="AN26" s="936">
        <f t="shared" si="0"/>
        <v>1.549728</v>
      </c>
      <c r="AO26" s="935">
        <f t="shared" si="0"/>
        <v>383.54999999999995</v>
      </c>
      <c r="AP26" s="820">
        <f t="shared" si="0"/>
        <v>6.5529760000000001</v>
      </c>
      <c r="AQ26" s="936">
        <f t="shared" si="0"/>
        <v>1.5685439999999999</v>
      </c>
      <c r="AR26" s="935">
        <f t="shared" si="0"/>
        <v>376.40999999999997</v>
      </c>
      <c r="AS26" s="820">
        <f t="shared" si="0"/>
        <v>6.4551119999999997</v>
      </c>
      <c r="AT26" s="936">
        <f t="shared" si="0"/>
        <v>1.441808</v>
      </c>
      <c r="AU26" s="935">
        <f t="shared" si="0"/>
        <v>380.28</v>
      </c>
      <c r="AV26" s="820">
        <f t="shared" si="0"/>
        <v>6.5064640000000011</v>
      </c>
      <c r="AW26" s="936">
        <f t="shared" si="0"/>
        <v>1.5199280000000002</v>
      </c>
      <c r="AX26" s="935">
        <f t="shared" si="0"/>
        <v>377.51</v>
      </c>
      <c r="AY26" s="820">
        <f t="shared" si="0"/>
        <v>6.4508960000000002</v>
      </c>
      <c r="AZ26" s="936">
        <f t="shared" si="0"/>
        <v>1.540608</v>
      </c>
      <c r="BA26" s="935">
        <f t="shared" si="0"/>
        <v>381.16</v>
      </c>
      <c r="BB26" s="820">
        <f t="shared" si="0"/>
        <v>6.5248640000000009</v>
      </c>
      <c r="BC26" s="936">
        <f t="shared" si="0"/>
        <v>1.509576</v>
      </c>
      <c r="BD26" s="935">
        <f t="shared" si="0"/>
        <v>394.33000000000004</v>
      </c>
      <c r="BE26" s="820">
        <f t="shared" si="0"/>
        <v>6.7495279999999998</v>
      </c>
      <c r="BF26" s="936">
        <f t="shared" si="0"/>
        <v>1.55948</v>
      </c>
      <c r="BG26" s="935">
        <f t="shared" si="0"/>
        <v>393.19</v>
      </c>
      <c r="BH26" s="820">
        <f t="shared" si="0"/>
        <v>6.7307039999999994</v>
      </c>
      <c r="BI26" s="936">
        <f t="shared" si="0"/>
        <v>1.5465920000000002</v>
      </c>
      <c r="BJ26" s="935">
        <f t="shared" si="0"/>
        <v>397.38</v>
      </c>
      <c r="BK26" s="820">
        <f t="shared" si="0"/>
        <v>6.8065119999999997</v>
      </c>
      <c r="BL26" s="936">
        <f t="shared" si="0"/>
        <v>1.5421520000000002</v>
      </c>
      <c r="BM26" s="935">
        <f t="shared" si="0"/>
        <v>389.43</v>
      </c>
      <c r="BN26" s="820">
        <f t="shared" si="0"/>
        <v>6.6878799999999998</v>
      </c>
      <c r="BO26" s="936">
        <f t="shared" si="0"/>
        <v>1.4412320000000001</v>
      </c>
      <c r="BP26" s="935">
        <f t="shared" si="0"/>
        <v>386.88</v>
      </c>
      <c r="BQ26" s="820">
        <f t="shared" si="0"/>
        <v>6.6436159999999997</v>
      </c>
      <c r="BR26" s="936">
        <f t="shared" si="0"/>
        <v>1.4352960000000001</v>
      </c>
      <c r="BS26" s="935">
        <f t="shared" si="0"/>
        <v>380.42999999999995</v>
      </c>
      <c r="BT26" s="820">
        <f t="shared" ref="BT26:CA26" si="1">SUM(BT8:BT9,BT15:BT16)</f>
        <v>6.5250960000000005</v>
      </c>
      <c r="BU26" s="936">
        <f t="shared" si="1"/>
        <v>1.4526240000000001</v>
      </c>
      <c r="BV26" s="935">
        <f t="shared" si="1"/>
        <v>364.86</v>
      </c>
      <c r="BW26" s="820">
        <f t="shared" si="1"/>
        <v>6.2402959999999998</v>
      </c>
      <c r="BX26" s="936">
        <f t="shared" si="1"/>
        <v>1.469808</v>
      </c>
      <c r="BY26" s="935">
        <f t="shared" si="1"/>
        <v>344.84000000000003</v>
      </c>
      <c r="BZ26" s="820">
        <f t="shared" si="1"/>
        <v>5.880431999999999</v>
      </c>
      <c r="CA26" s="936">
        <f t="shared" si="1"/>
        <v>1.464936</v>
      </c>
      <c r="CB26" s="618"/>
      <c r="CC26" s="922"/>
    </row>
    <row r="27" spans="1:84" ht="12.75" customHeight="1" x14ac:dyDescent="0.2">
      <c r="A27" s="937" t="s">
        <v>0</v>
      </c>
      <c r="B27" s="739" t="s">
        <v>222</v>
      </c>
      <c r="C27" s="822">
        <f>(I8+L8+O8+R8+U8+X8+AA8+AD8+AG8+AJ8+AM8+AP8+AS8+AV8+AY8+BB8+BE8+BH8+BK8+BN8+BQ8+BT8+BW8+BZ8)/SQRT((I8+L8+O8+R8+U8+X8+AA8+AD8+AG8+AJ8+AM8+AP8+AS8+AV8+AY8+BB8+BE8+BH8+BK8+BN8+BQ8+BT8+BW8+BZ8)^2+(J8+M8+P8+S8+V8+Y8+AB8+AE8+AH8+AK8+AN8+AQ8+AT8+AW8+BC8+AZ8+BF8+BI8+BL8+BO8+BR8+BU8+BX8+CA8)^2)</f>
        <v>0.96697895711375692</v>
      </c>
      <c r="D27" s="938" t="s">
        <v>223</v>
      </c>
      <c r="E27" s="2282">
        <f>(J8+M8+P8+S8+V8+Y8+AB8+AE8+AH8+AK8+AN8+AQ8+AT8+AW8+BC8+AZ8+BF8+BI8+BL8+BO8+BR8+BU8+BX8+CA8)/(I8+L8+O8+R8+U8+X8+AA8+AD8+AG8+AJ8+AM8+AP8+AS8+AV8+AY8+BB8+BE8+BH8+BK8+BN8+BQ8+BT8+BW8+BZ8)</f>
        <v>0.26355922767491957</v>
      </c>
      <c r="F27" s="2282"/>
      <c r="G27" s="825"/>
      <c r="H27" s="738"/>
      <c r="I27" s="824"/>
      <c r="J27" s="939"/>
      <c r="K27" s="738"/>
      <c r="L27" s="824"/>
      <c r="M27" s="939"/>
      <c r="N27" s="738"/>
      <c r="O27" s="824"/>
      <c r="P27" s="939"/>
      <c r="Q27" s="738"/>
      <c r="R27" s="824"/>
      <c r="S27" s="939"/>
      <c r="T27" s="738"/>
      <c r="U27" s="824"/>
      <c r="V27" s="939"/>
      <c r="W27" s="738"/>
      <c r="X27" s="824"/>
      <c r="Y27" s="939"/>
      <c r="Z27" s="738"/>
      <c r="AA27" s="824"/>
      <c r="AB27" s="939"/>
      <c r="AC27" s="738"/>
      <c r="AD27" s="824"/>
      <c r="AE27" s="939"/>
      <c r="AF27" s="738"/>
      <c r="AG27" s="824"/>
      <c r="AH27" s="939"/>
      <c r="AI27" s="738"/>
      <c r="AJ27" s="824"/>
      <c r="AK27" s="939"/>
      <c r="AL27" s="738"/>
      <c r="AM27" s="824"/>
      <c r="AN27" s="939"/>
      <c r="AO27" s="738"/>
      <c r="AP27" s="824"/>
      <c r="AQ27" s="939"/>
      <c r="AR27" s="738"/>
      <c r="AS27" s="824"/>
      <c r="AT27" s="939"/>
      <c r="AU27" s="738"/>
      <c r="AV27" s="824"/>
      <c r="AW27" s="939"/>
      <c r="AX27" s="738"/>
      <c r="AY27" s="824"/>
      <c r="AZ27" s="939"/>
      <c r="BA27" s="738"/>
      <c r="BB27" s="824"/>
      <c r="BC27" s="939"/>
      <c r="BD27" s="738"/>
      <c r="BE27" s="824"/>
      <c r="BF27" s="939"/>
      <c r="BG27" s="738"/>
      <c r="BH27" s="824"/>
      <c r="BI27" s="939"/>
      <c r="BJ27" s="738"/>
      <c r="BK27" s="824"/>
      <c r="BL27" s="939"/>
      <c r="BM27" s="738"/>
      <c r="BN27" s="824"/>
      <c r="BO27" s="939"/>
      <c r="BP27" s="738"/>
      <c r="BQ27" s="824"/>
      <c r="BR27" s="939"/>
      <c r="BS27" s="738"/>
      <c r="BT27" s="824"/>
      <c r="BU27" s="939"/>
      <c r="BV27" s="738"/>
      <c r="BW27" s="824"/>
      <c r="BX27" s="939"/>
      <c r="BY27" s="738"/>
      <c r="BZ27" s="824"/>
      <c r="CA27" s="939"/>
      <c r="CB27" s="618"/>
      <c r="CC27" s="922"/>
    </row>
    <row r="28" spans="1:84" ht="13.5" customHeight="1" thickBot="1" x14ac:dyDescent="0.25">
      <c r="A28" s="940" t="s">
        <v>1</v>
      </c>
      <c r="B28" s="941" t="s">
        <v>224</v>
      </c>
      <c r="C28" s="829">
        <f>(I15+L15+O15+R15+U15+X15+AA15+AD15+AG15+AJ15+AM15+AP15+AS15+AV15+AY15+BB15+BE15+BH15+BK15+BN15+BQ15+BT15+BW15+BZ15)/SQRT((I15+L15+O15+R15+U15+X15+AA15+AD15+AG15+AJ15+AM15+AP15+AS15+AV15+AY15+BB15+BE15+BH15+BK15+BN15+BQ15+BT15+BW15+BZ15)^2+(J15+M15+P15+S15+V15+Y15+AB15+AE15+AH15+AK15+AN15+AQ15+AT15+AW15+BC15+AZ15+BF15+BI15+BL15+BO15+BR15+BU15+BX15+CA15)^2)</f>
        <v>0.97789053222390765</v>
      </c>
      <c r="D28" s="942" t="s">
        <v>225</v>
      </c>
      <c r="E28" s="2283">
        <f>(J15+M15+P15+S15+V15+Y15+AB15+AE15+AH15+AK15+AN15+AQ15+AT15+AW15+BC15+AZ15+BF15+BI15+BL15+BO15+BR15+BU15+BX15+CA15)/(I15+L15+O15+R15+U15+X15+AA15+AD15+AG15+AJ15+AM15+AP15+AS15+AV15+AY15+BB15+BE15+BH15+BK15+BN15+BQ15+BT15+BW15+BZ15)</f>
        <v>0.21384545707198077</v>
      </c>
      <c r="F28" s="2283"/>
      <c r="G28" s="828"/>
      <c r="H28" s="831"/>
      <c r="I28" s="828"/>
      <c r="J28" s="832"/>
      <c r="K28" s="831"/>
      <c r="L28" s="828"/>
      <c r="M28" s="832"/>
      <c r="N28" s="831"/>
      <c r="O28" s="828"/>
      <c r="P28" s="832"/>
      <c r="Q28" s="831"/>
      <c r="R28" s="828"/>
      <c r="S28" s="832"/>
      <c r="T28" s="831"/>
      <c r="U28" s="828"/>
      <c r="V28" s="832"/>
      <c r="W28" s="831"/>
      <c r="X28" s="828"/>
      <c r="Y28" s="832"/>
      <c r="Z28" s="831"/>
      <c r="AA28" s="828"/>
      <c r="AB28" s="832"/>
      <c r="AC28" s="831"/>
      <c r="AD28" s="828"/>
      <c r="AE28" s="832"/>
      <c r="AF28" s="831"/>
      <c r="AG28" s="828"/>
      <c r="AH28" s="832"/>
      <c r="AI28" s="831"/>
      <c r="AJ28" s="828"/>
      <c r="AK28" s="832"/>
      <c r="AL28" s="831"/>
      <c r="AM28" s="828"/>
      <c r="AN28" s="832"/>
      <c r="AO28" s="831"/>
      <c r="AP28" s="828"/>
      <c r="AQ28" s="832"/>
      <c r="AR28" s="831"/>
      <c r="AS28" s="828"/>
      <c r="AT28" s="832"/>
      <c r="AU28" s="831"/>
      <c r="AV28" s="828"/>
      <c r="AW28" s="832"/>
      <c r="AX28" s="831"/>
      <c r="AY28" s="828"/>
      <c r="AZ28" s="832"/>
      <c r="BA28" s="831"/>
      <c r="BB28" s="828"/>
      <c r="BC28" s="832"/>
      <c r="BD28" s="831"/>
      <c r="BE28" s="828"/>
      <c r="BF28" s="832"/>
      <c r="BG28" s="831"/>
      <c r="BH28" s="828"/>
      <c r="BI28" s="832"/>
      <c r="BJ28" s="831"/>
      <c r="BK28" s="828"/>
      <c r="BL28" s="832"/>
      <c r="BM28" s="831"/>
      <c r="BN28" s="828"/>
      <c r="BO28" s="832"/>
      <c r="BP28" s="831"/>
      <c r="BQ28" s="828"/>
      <c r="BR28" s="832"/>
      <c r="BS28" s="831"/>
      <c r="BT28" s="828"/>
      <c r="BU28" s="832"/>
      <c r="BV28" s="831"/>
      <c r="BW28" s="828"/>
      <c r="BX28" s="832"/>
      <c r="BY28" s="831"/>
      <c r="BZ28" s="828"/>
      <c r="CA28" s="832"/>
      <c r="CB28" s="618"/>
    </row>
    <row r="29" spans="1:84" x14ac:dyDescent="0.2">
      <c r="A29" s="2284" t="s">
        <v>40</v>
      </c>
      <c r="B29" s="2285"/>
      <c r="C29" s="2286"/>
      <c r="D29" s="2287" t="s">
        <v>5</v>
      </c>
      <c r="E29" s="2288"/>
      <c r="F29" s="2289" t="s">
        <v>6</v>
      </c>
      <c r="G29" s="2290"/>
      <c r="H29" s="551" t="s">
        <v>4</v>
      </c>
      <c r="I29" s="552" t="s">
        <v>9</v>
      </c>
      <c r="J29" s="553" t="s">
        <v>10</v>
      </c>
      <c r="K29" s="551" t="s">
        <v>4</v>
      </c>
      <c r="L29" s="552" t="s">
        <v>9</v>
      </c>
      <c r="M29" s="553" t="s">
        <v>10</v>
      </c>
      <c r="N29" s="551" t="s">
        <v>4</v>
      </c>
      <c r="O29" s="552" t="s">
        <v>9</v>
      </c>
      <c r="P29" s="553" t="s">
        <v>10</v>
      </c>
      <c r="Q29" s="551" t="s">
        <v>4</v>
      </c>
      <c r="R29" s="552" t="s">
        <v>9</v>
      </c>
      <c r="S29" s="553" t="s">
        <v>10</v>
      </c>
      <c r="T29" s="551" t="s">
        <v>4</v>
      </c>
      <c r="U29" s="552" t="s">
        <v>9</v>
      </c>
      <c r="V29" s="553" t="s">
        <v>10</v>
      </c>
      <c r="W29" s="551" t="s">
        <v>4</v>
      </c>
      <c r="X29" s="552" t="s">
        <v>9</v>
      </c>
      <c r="Y29" s="553" t="s">
        <v>10</v>
      </c>
      <c r="Z29" s="551" t="s">
        <v>4</v>
      </c>
      <c r="AA29" s="552" t="s">
        <v>9</v>
      </c>
      <c r="AB29" s="553" t="s">
        <v>10</v>
      </c>
      <c r="AC29" s="551" t="s">
        <v>4</v>
      </c>
      <c r="AD29" s="552" t="s">
        <v>9</v>
      </c>
      <c r="AE29" s="553" t="s">
        <v>10</v>
      </c>
      <c r="AF29" s="551" t="s">
        <v>4</v>
      </c>
      <c r="AG29" s="552" t="s">
        <v>9</v>
      </c>
      <c r="AH29" s="553" t="s">
        <v>10</v>
      </c>
      <c r="AI29" s="551" t="s">
        <v>4</v>
      </c>
      <c r="AJ29" s="552" t="s">
        <v>9</v>
      </c>
      <c r="AK29" s="553" t="s">
        <v>10</v>
      </c>
      <c r="AL29" s="551" t="s">
        <v>4</v>
      </c>
      <c r="AM29" s="552" t="s">
        <v>9</v>
      </c>
      <c r="AN29" s="553" t="s">
        <v>10</v>
      </c>
      <c r="AO29" s="551" t="s">
        <v>4</v>
      </c>
      <c r="AP29" s="552" t="s">
        <v>9</v>
      </c>
      <c r="AQ29" s="553" t="s">
        <v>10</v>
      </c>
      <c r="AR29" s="551" t="s">
        <v>4</v>
      </c>
      <c r="AS29" s="552" t="s">
        <v>9</v>
      </c>
      <c r="AT29" s="553" t="s">
        <v>10</v>
      </c>
      <c r="AU29" s="551" t="s">
        <v>4</v>
      </c>
      <c r="AV29" s="552" t="s">
        <v>9</v>
      </c>
      <c r="AW29" s="553" t="s">
        <v>10</v>
      </c>
      <c r="AX29" s="551" t="s">
        <v>4</v>
      </c>
      <c r="AY29" s="552" t="s">
        <v>9</v>
      </c>
      <c r="AZ29" s="553" t="s">
        <v>10</v>
      </c>
      <c r="BA29" s="551" t="s">
        <v>4</v>
      </c>
      <c r="BB29" s="552" t="s">
        <v>9</v>
      </c>
      <c r="BC29" s="553" t="s">
        <v>10</v>
      </c>
      <c r="BD29" s="551" t="s">
        <v>4</v>
      </c>
      <c r="BE29" s="552" t="s">
        <v>9</v>
      </c>
      <c r="BF29" s="553" t="s">
        <v>10</v>
      </c>
      <c r="BG29" s="551" t="s">
        <v>4</v>
      </c>
      <c r="BH29" s="552" t="s">
        <v>9</v>
      </c>
      <c r="BI29" s="553" t="s">
        <v>10</v>
      </c>
      <c r="BJ29" s="551" t="s">
        <v>4</v>
      </c>
      <c r="BK29" s="552" t="s">
        <v>9</v>
      </c>
      <c r="BL29" s="553" t="s">
        <v>10</v>
      </c>
      <c r="BM29" s="551" t="s">
        <v>4</v>
      </c>
      <c r="BN29" s="552" t="s">
        <v>9</v>
      </c>
      <c r="BO29" s="553" t="s">
        <v>10</v>
      </c>
      <c r="BP29" s="551" t="s">
        <v>4</v>
      </c>
      <c r="BQ29" s="552" t="s">
        <v>9</v>
      </c>
      <c r="BR29" s="553" t="s">
        <v>10</v>
      </c>
      <c r="BS29" s="551" t="s">
        <v>4</v>
      </c>
      <c r="BT29" s="552" t="s">
        <v>9</v>
      </c>
      <c r="BU29" s="553" t="s">
        <v>10</v>
      </c>
      <c r="BV29" s="551" t="s">
        <v>4</v>
      </c>
      <c r="BW29" s="552" t="s">
        <v>9</v>
      </c>
      <c r="BX29" s="553" t="s">
        <v>10</v>
      </c>
      <c r="BY29" s="551" t="s">
        <v>4</v>
      </c>
      <c r="BZ29" s="552" t="s">
        <v>9</v>
      </c>
      <c r="CA29" s="553" t="s">
        <v>10</v>
      </c>
      <c r="CB29" s="618"/>
    </row>
    <row r="30" spans="1:84" ht="13.5" thickBot="1" x14ac:dyDescent="0.25">
      <c r="A30" s="2291" t="s">
        <v>210</v>
      </c>
      <c r="B30" s="2291"/>
      <c r="C30" s="2292"/>
      <c r="D30" s="554" t="s">
        <v>7</v>
      </c>
      <c r="E30" s="554" t="s">
        <v>8</v>
      </c>
      <c r="F30" s="554" t="s">
        <v>7</v>
      </c>
      <c r="G30" s="555" t="s">
        <v>8</v>
      </c>
      <c r="H30" s="556" t="s">
        <v>30</v>
      </c>
      <c r="I30" s="557" t="s">
        <v>31</v>
      </c>
      <c r="J30" s="558" t="s">
        <v>32</v>
      </c>
      <c r="K30" s="556" t="s">
        <v>30</v>
      </c>
      <c r="L30" s="557" t="s">
        <v>31</v>
      </c>
      <c r="M30" s="558" t="s">
        <v>32</v>
      </c>
      <c r="N30" s="556" t="s">
        <v>30</v>
      </c>
      <c r="O30" s="557" t="s">
        <v>31</v>
      </c>
      <c r="P30" s="558" t="s">
        <v>32</v>
      </c>
      <c r="Q30" s="556" t="s">
        <v>30</v>
      </c>
      <c r="R30" s="557" t="s">
        <v>31</v>
      </c>
      <c r="S30" s="558" t="s">
        <v>32</v>
      </c>
      <c r="T30" s="556" t="s">
        <v>30</v>
      </c>
      <c r="U30" s="557" t="s">
        <v>31</v>
      </c>
      <c r="V30" s="558" t="s">
        <v>32</v>
      </c>
      <c r="W30" s="556" t="s">
        <v>30</v>
      </c>
      <c r="X30" s="557" t="s">
        <v>31</v>
      </c>
      <c r="Y30" s="558" t="s">
        <v>32</v>
      </c>
      <c r="Z30" s="556" t="s">
        <v>30</v>
      </c>
      <c r="AA30" s="557" t="s">
        <v>31</v>
      </c>
      <c r="AB30" s="558" t="s">
        <v>32</v>
      </c>
      <c r="AC30" s="556" t="s">
        <v>30</v>
      </c>
      <c r="AD30" s="557" t="s">
        <v>31</v>
      </c>
      <c r="AE30" s="558" t="s">
        <v>32</v>
      </c>
      <c r="AF30" s="556" t="s">
        <v>30</v>
      </c>
      <c r="AG30" s="557" t="s">
        <v>31</v>
      </c>
      <c r="AH30" s="558" t="s">
        <v>32</v>
      </c>
      <c r="AI30" s="556" t="s">
        <v>30</v>
      </c>
      <c r="AJ30" s="557" t="s">
        <v>31</v>
      </c>
      <c r="AK30" s="558" t="s">
        <v>32</v>
      </c>
      <c r="AL30" s="556" t="s">
        <v>30</v>
      </c>
      <c r="AM30" s="557" t="s">
        <v>31</v>
      </c>
      <c r="AN30" s="558" t="s">
        <v>32</v>
      </c>
      <c r="AO30" s="556" t="s">
        <v>30</v>
      </c>
      <c r="AP30" s="557" t="s">
        <v>31</v>
      </c>
      <c r="AQ30" s="558" t="s">
        <v>32</v>
      </c>
      <c r="AR30" s="556" t="s">
        <v>30</v>
      </c>
      <c r="AS30" s="557" t="s">
        <v>31</v>
      </c>
      <c r="AT30" s="558" t="s">
        <v>32</v>
      </c>
      <c r="AU30" s="556" t="s">
        <v>30</v>
      </c>
      <c r="AV30" s="557" t="s">
        <v>31</v>
      </c>
      <c r="AW30" s="558" t="s">
        <v>32</v>
      </c>
      <c r="AX30" s="556" t="s">
        <v>30</v>
      </c>
      <c r="AY30" s="557" t="s">
        <v>31</v>
      </c>
      <c r="AZ30" s="558" t="s">
        <v>32</v>
      </c>
      <c r="BA30" s="556" t="s">
        <v>30</v>
      </c>
      <c r="BB30" s="557" t="s">
        <v>31</v>
      </c>
      <c r="BC30" s="558" t="s">
        <v>32</v>
      </c>
      <c r="BD30" s="556" t="s">
        <v>30</v>
      </c>
      <c r="BE30" s="557" t="s">
        <v>31</v>
      </c>
      <c r="BF30" s="558" t="s">
        <v>32</v>
      </c>
      <c r="BG30" s="556" t="s">
        <v>30</v>
      </c>
      <c r="BH30" s="557" t="s">
        <v>31</v>
      </c>
      <c r="BI30" s="558" t="s">
        <v>32</v>
      </c>
      <c r="BJ30" s="556" t="s">
        <v>30</v>
      </c>
      <c r="BK30" s="557" t="s">
        <v>31</v>
      </c>
      <c r="BL30" s="558" t="s">
        <v>32</v>
      </c>
      <c r="BM30" s="556" t="s">
        <v>30</v>
      </c>
      <c r="BN30" s="557" t="s">
        <v>31</v>
      </c>
      <c r="BO30" s="558" t="s">
        <v>32</v>
      </c>
      <c r="BP30" s="556" t="s">
        <v>30</v>
      </c>
      <c r="BQ30" s="557" t="s">
        <v>31</v>
      </c>
      <c r="BR30" s="558" t="s">
        <v>32</v>
      </c>
      <c r="BS30" s="556" t="s">
        <v>30</v>
      </c>
      <c r="BT30" s="557" t="s">
        <v>31</v>
      </c>
      <c r="BU30" s="558" t="s">
        <v>32</v>
      </c>
      <c r="BV30" s="556" t="s">
        <v>30</v>
      </c>
      <c r="BW30" s="557" t="s">
        <v>31</v>
      </c>
      <c r="BX30" s="558" t="s">
        <v>32</v>
      </c>
      <c r="BY30" s="556" t="s">
        <v>30</v>
      </c>
      <c r="BZ30" s="557" t="s">
        <v>31</v>
      </c>
      <c r="CA30" s="558" t="s">
        <v>32</v>
      </c>
      <c r="CB30" s="618"/>
    </row>
    <row r="31" spans="1:84" x14ac:dyDescent="0.2">
      <c r="A31" s="2293" t="s">
        <v>226</v>
      </c>
      <c r="B31" s="2294"/>
      <c r="C31" s="2295"/>
      <c r="D31" s="943"/>
      <c r="E31" s="944"/>
      <c r="F31" s="944"/>
      <c r="G31" s="945"/>
      <c r="H31" s="946">
        <f t="shared" ref="H31:BS31" si="2">H34+H35+H36+H37+H32+H33</f>
        <v>169.32999999999998</v>
      </c>
      <c r="I31" s="947">
        <f t="shared" si="2"/>
        <v>2.8760000000000003</v>
      </c>
      <c r="J31" s="947">
        <f t="shared" si="2"/>
        <v>0.77119999999999989</v>
      </c>
      <c r="K31" s="946">
        <f t="shared" si="2"/>
        <v>167.73</v>
      </c>
      <c r="L31" s="947">
        <f t="shared" si="2"/>
        <v>2.8450000000000002</v>
      </c>
      <c r="M31" s="947">
        <f t="shared" si="2"/>
        <v>0.77800000000000002</v>
      </c>
      <c r="N31" s="946">
        <f t="shared" si="2"/>
        <v>165.45999999999998</v>
      </c>
      <c r="O31" s="947">
        <f t="shared" si="2"/>
        <v>2.8045999999999998</v>
      </c>
      <c r="P31" s="947">
        <f t="shared" si="2"/>
        <v>0.77559999999999996</v>
      </c>
      <c r="Q31" s="946">
        <f t="shared" si="2"/>
        <v>164.55</v>
      </c>
      <c r="R31" s="947">
        <f t="shared" si="2"/>
        <v>2.7885999999999997</v>
      </c>
      <c r="S31" s="947">
        <f t="shared" si="2"/>
        <v>0.77339999999999998</v>
      </c>
      <c r="T31" s="946">
        <f t="shared" si="2"/>
        <v>165.25</v>
      </c>
      <c r="U31" s="947">
        <f t="shared" si="2"/>
        <v>2.8028</v>
      </c>
      <c r="V31" s="947">
        <f t="shared" si="2"/>
        <v>0.76899999999999991</v>
      </c>
      <c r="W31" s="946">
        <f t="shared" si="2"/>
        <v>168.39</v>
      </c>
      <c r="X31" s="947">
        <f t="shared" si="2"/>
        <v>2.8582000000000001</v>
      </c>
      <c r="Y31" s="947">
        <f t="shared" si="2"/>
        <v>0.77400000000000002</v>
      </c>
      <c r="Z31" s="946">
        <f t="shared" si="2"/>
        <v>174.19</v>
      </c>
      <c r="AA31" s="947">
        <f t="shared" si="2"/>
        <v>2.9628000000000001</v>
      </c>
      <c r="AB31" s="947">
        <f t="shared" si="2"/>
        <v>0.7782</v>
      </c>
      <c r="AC31" s="946">
        <f t="shared" si="2"/>
        <v>179.57</v>
      </c>
      <c r="AD31" s="947">
        <f t="shared" si="2"/>
        <v>3.0590000000000002</v>
      </c>
      <c r="AE31" s="947">
        <f t="shared" si="2"/>
        <v>0.78220000000000001</v>
      </c>
      <c r="AF31" s="946">
        <f t="shared" si="2"/>
        <v>184.22000000000003</v>
      </c>
      <c r="AG31" s="947">
        <f t="shared" si="2"/>
        <v>3.1372000000000004</v>
      </c>
      <c r="AH31" s="947">
        <f t="shared" si="2"/>
        <v>0.80799999999999994</v>
      </c>
      <c r="AI31" s="946">
        <f t="shared" si="2"/>
        <v>185.09</v>
      </c>
      <c r="AJ31" s="947">
        <f t="shared" si="2"/>
        <v>3.1509999999999998</v>
      </c>
      <c r="AK31" s="947">
        <f t="shared" si="2"/>
        <v>0.81820000000000004</v>
      </c>
      <c r="AL31" s="946">
        <f t="shared" si="2"/>
        <v>185.88000000000002</v>
      </c>
      <c r="AM31" s="947">
        <f t="shared" si="2"/>
        <v>3.1561999999999992</v>
      </c>
      <c r="AN31" s="947">
        <f t="shared" si="2"/>
        <v>0.85140000000000005</v>
      </c>
      <c r="AO31" s="946">
        <f t="shared" si="2"/>
        <v>185.53000000000003</v>
      </c>
      <c r="AP31" s="947">
        <f t="shared" si="2"/>
        <v>3.1459999999999999</v>
      </c>
      <c r="AQ31" s="947">
        <f t="shared" si="2"/>
        <v>0.86599999999999988</v>
      </c>
      <c r="AR31" s="946">
        <f t="shared" si="2"/>
        <v>178.3</v>
      </c>
      <c r="AS31" s="947">
        <f t="shared" si="2"/>
        <v>3.0424000000000002</v>
      </c>
      <c r="AT31" s="947">
        <f t="shared" si="2"/>
        <v>0.75119999999999998</v>
      </c>
      <c r="AU31" s="946">
        <f t="shared" si="2"/>
        <v>182.61</v>
      </c>
      <c r="AV31" s="947">
        <f t="shared" si="2"/>
        <v>3.1048</v>
      </c>
      <c r="AW31" s="947">
        <f t="shared" si="2"/>
        <v>0.81720000000000004</v>
      </c>
      <c r="AX31" s="946">
        <f t="shared" si="2"/>
        <v>180.86</v>
      </c>
      <c r="AY31" s="947">
        <f t="shared" si="2"/>
        <v>3.069</v>
      </c>
      <c r="AZ31" s="947">
        <f t="shared" si="2"/>
        <v>0.83279999999999998</v>
      </c>
      <c r="BA31" s="946">
        <f t="shared" si="2"/>
        <v>181.71999999999997</v>
      </c>
      <c r="BB31" s="947">
        <f t="shared" si="2"/>
        <v>3.0942000000000003</v>
      </c>
      <c r="BC31" s="947">
        <f t="shared" si="2"/>
        <v>0.80299999999999994</v>
      </c>
      <c r="BD31" s="946">
        <f t="shared" si="2"/>
        <v>188.39</v>
      </c>
      <c r="BE31" s="947">
        <f t="shared" si="2"/>
        <v>3.2039999999999997</v>
      </c>
      <c r="BF31" s="947">
        <f t="shared" si="2"/>
        <v>0.85119999999999996</v>
      </c>
      <c r="BG31" s="946">
        <f t="shared" si="2"/>
        <v>184.91</v>
      </c>
      <c r="BH31" s="947">
        <f t="shared" si="2"/>
        <v>3.1404000000000001</v>
      </c>
      <c r="BI31" s="947">
        <f t="shared" si="2"/>
        <v>0.84240000000000004</v>
      </c>
      <c r="BJ31" s="946">
        <f t="shared" si="2"/>
        <v>188.27</v>
      </c>
      <c r="BK31" s="947">
        <f t="shared" si="2"/>
        <v>3.1989999999999998</v>
      </c>
      <c r="BL31" s="947">
        <f t="shared" si="2"/>
        <v>0.86160000000000014</v>
      </c>
      <c r="BM31" s="946">
        <f t="shared" si="2"/>
        <v>181.22</v>
      </c>
      <c r="BN31" s="947">
        <f t="shared" si="2"/>
        <v>3.0949999999999998</v>
      </c>
      <c r="BO31" s="947">
        <f t="shared" si="2"/>
        <v>0.75980000000000003</v>
      </c>
      <c r="BP31" s="946">
        <f t="shared" si="2"/>
        <v>180.14</v>
      </c>
      <c r="BQ31" s="947">
        <f t="shared" si="2"/>
        <v>3.0775999999999999</v>
      </c>
      <c r="BR31" s="947">
        <f t="shared" si="2"/>
        <v>0.74840000000000007</v>
      </c>
      <c r="BS31" s="946">
        <f t="shared" si="2"/>
        <v>178.95</v>
      </c>
      <c r="BT31" s="947">
        <f t="shared" ref="BT31:CA31" si="3">BT34+BT35+BT36+BT37+BT32+BT33</f>
        <v>3.0566</v>
      </c>
      <c r="BU31" s="947">
        <f t="shared" si="3"/>
        <v>0.74619999999999997</v>
      </c>
      <c r="BV31" s="946">
        <f t="shared" si="3"/>
        <v>172.18</v>
      </c>
      <c r="BW31" s="947">
        <f t="shared" si="3"/>
        <v>2.9316</v>
      </c>
      <c r="BX31" s="947">
        <f t="shared" si="3"/>
        <v>0.75740000000000007</v>
      </c>
      <c r="BY31" s="946">
        <f t="shared" si="3"/>
        <v>166.28000000000003</v>
      </c>
      <c r="BZ31" s="947">
        <f t="shared" si="3"/>
        <v>2.8225999999999996</v>
      </c>
      <c r="CA31" s="947">
        <f t="shared" si="3"/>
        <v>0.76239999999999997</v>
      </c>
      <c r="CB31" s="618"/>
    </row>
    <row r="32" spans="1:84" x14ac:dyDescent="0.2">
      <c r="A32" s="2296" t="s">
        <v>227</v>
      </c>
      <c r="B32" s="2297"/>
      <c r="C32" s="2298"/>
      <c r="D32" s="948"/>
      <c r="E32" s="854"/>
      <c r="F32" s="853"/>
      <c r="G32" s="855"/>
      <c r="H32" s="575">
        <f>ROUND(SQRT(I32^2+J32^2)*1000/(SQRT(3)*I11),2)</f>
        <v>53.33</v>
      </c>
      <c r="I32" s="594">
        <v>0.91520000000000001</v>
      </c>
      <c r="J32" s="595">
        <v>0.224</v>
      </c>
      <c r="K32" s="575">
        <f>ROUND(SQRT(L32^2+M32^2)*1000/(SQRT(3)*L11),2)</f>
        <v>52.65</v>
      </c>
      <c r="L32" s="594">
        <v>0.90239999999999998</v>
      </c>
      <c r="M32" s="595">
        <v>0.22559999999999999</v>
      </c>
      <c r="N32" s="575">
        <f>ROUND(SQRT(O32^2+P32^2)*1000/(SQRT(3)*O11),2)</f>
        <v>51.82</v>
      </c>
      <c r="O32" s="594">
        <v>0.88639999999999997</v>
      </c>
      <c r="P32" s="595">
        <v>0.2288</v>
      </c>
      <c r="Q32" s="575">
        <f>ROUND(SQRT(R32^2+S32^2)*1000/(SQRT(3)*R11),2)</f>
        <v>50.72</v>
      </c>
      <c r="R32" s="594">
        <v>0.86720000000000008</v>
      </c>
      <c r="S32" s="595">
        <v>0.22559999999999999</v>
      </c>
      <c r="T32" s="575">
        <f>ROUND(SQRT(U32^2+V32^2)*1000/(SQRT(3)*U11),2)</f>
        <v>51.75</v>
      </c>
      <c r="U32" s="594">
        <v>0.88639999999999997</v>
      </c>
      <c r="V32" s="595">
        <v>0.224</v>
      </c>
      <c r="W32" s="575">
        <f>ROUND(SQRT(X32^2+Y32^2)*1000/(SQRT(3)*X11),2)</f>
        <v>52.3</v>
      </c>
      <c r="X32" s="594">
        <v>0.89600000000000002</v>
      </c>
      <c r="Y32" s="595">
        <v>0.22559999999999999</v>
      </c>
      <c r="Z32" s="575">
        <f>ROUND(SQRT(AA32^2+AB32^2)*1000/(SQRT(3)*AA11),2)</f>
        <v>55.75</v>
      </c>
      <c r="AA32" s="594">
        <v>0.95840000000000003</v>
      </c>
      <c r="AB32" s="595">
        <v>0.22719999999999999</v>
      </c>
      <c r="AC32" s="575">
        <f>ROUND(SQRT(AD32^2+AE32^2)*1000/(SQRT(3)*AD11),2)</f>
        <v>60.65</v>
      </c>
      <c r="AD32" s="594">
        <v>1.0464</v>
      </c>
      <c r="AE32" s="595">
        <v>0.23039999999999997</v>
      </c>
      <c r="AF32" s="575">
        <f>ROUND(SQRT(AG32^2+AH32^2)*1000/(SQRT(3)*AG11),2)</f>
        <v>63.91</v>
      </c>
      <c r="AG32" s="594">
        <v>1.1008000000000002</v>
      </c>
      <c r="AH32" s="595">
        <v>0.25119999999999998</v>
      </c>
      <c r="AI32" s="575">
        <f>ROUND(SQRT(AJ32^2+AK32^2)*1000/(SQRT(3)*AJ11),2)</f>
        <v>62.35</v>
      </c>
      <c r="AJ32" s="594">
        <v>1.0768</v>
      </c>
      <c r="AK32" s="595">
        <v>0.23200000000000001</v>
      </c>
      <c r="AL32" s="575">
        <f>ROUND(SQRT(AM32^2+AN32^2)*1000/(SQRT(3)*AM11),2)</f>
        <v>63.61</v>
      </c>
      <c r="AM32" s="594">
        <v>1.0992</v>
      </c>
      <c r="AN32" s="595">
        <v>0.2336</v>
      </c>
      <c r="AO32" s="575">
        <f>ROUND(SQRT(AP32^2+AQ32^2)*1000/(SQRT(3)*AP11),2)</f>
        <v>65.37</v>
      </c>
      <c r="AP32" s="594">
        <v>1.1200000000000001</v>
      </c>
      <c r="AQ32" s="595">
        <v>0.28160000000000002</v>
      </c>
      <c r="AR32" s="575">
        <f>ROUND(SQRT(AS32^2+AT32^2)*1000/(SQRT(3)*AS11),2)</f>
        <v>61.37</v>
      </c>
      <c r="AS32" s="594">
        <v>1.0624</v>
      </c>
      <c r="AT32" s="595">
        <v>0.216</v>
      </c>
      <c r="AU32" s="575">
        <f>ROUND(SQRT(AV32^2+AW32^2)*1000/(SQRT(3)*AV11),2)</f>
        <v>64.069999999999993</v>
      </c>
      <c r="AV32" s="594">
        <v>1.1040000000000001</v>
      </c>
      <c r="AW32" s="595">
        <v>0.24959999999999999</v>
      </c>
      <c r="AX32" s="575">
        <f>ROUND(SQRT(AY32^2+AZ32^2)*1000/(SQRT(3)*AY11),2)</f>
        <v>62.36</v>
      </c>
      <c r="AY32" s="594">
        <v>1.0720000000000001</v>
      </c>
      <c r="AZ32" s="595">
        <v>0.25440000000000002</v>
      </c>
      <c r="BA32" s="575">
        <f>ROUND(SQRT(BB32^2+BC32^2)*1000/(SQRT(3)*BB11),2)</f>
        <v>61.97</v>
      </c>
      <c r="BB32" s="594">
        <v>1.0720000000000001</v>
      </c>
      <c r="BC32" s="595">
        <v>0.22239999999999999</v>
      </c>
      <c r="BD32" s="575">
        <f>ROUND(SQRT(BE32^2+BF32^2)*1000/(SQRT(3)*BE11),2)</f>
        <v>64.89</v>
      </c>
      <c r="BE32" s="594">
        <v>1.1135999999999999</v>
      </c>
      <c r="BF32" s="595">
        <v>0.27200000000000002</v>
      </c>
      <c r="BG32" s="575">
        <f>ROUND(SQRT(BH32^2+BI32^2)*1000/(SQRT(3)*BH11),2)</f>
        <v>65.599999999999994</v>
      </c>
      <c r="BH32" s="594">
        <v>1.1152</v>
      </c>
      <c r="BI32" s="595">
        <v>0.31519999999999998</v>
      </c>
      <c r="BJ32" s="575">
        <f>ROUND(SQRT(BK32^2+BL32^2)*1000/(SQRT(3)*BK11),2)</f>
        <v>66.790000000000006</v>
      </c>
      <c r="BK32" s="594">
        <v>1.1375999999999999</v>
      </c>
      <c r="BL32" s="595">
        <v>0.31360000000000005</v>
      </c>
      <c r="BM32" s="575">
        <f>ROUND(SQRT(BN32^2+BO32^2)*1000/(SQRT(3)*BN11),2)</f>
        <v>61.49</v>
      </c>
      <c r="BN32" s="594">
        <v>1.0624</v>
      </c>
      <c r="BO32" s="595">
        <v>0.22719999999999999</v>
      </c>
      <c r="BP32" s="575">
        <f>ROUND(SQRT(BQ32^2+BR32^2)*1000/(SQRT(3)*BQ11),2)</f>
        <v>59.74</v>
      </c>
      <c r="BQ32" s="594">
        <v>1.032</v>
      </c>
      <c r="BR32" s="595">
        <v>0.22080000000000002</v>
      </c>
      <c r="BS32" s="575">
        <f>ROUND(SQRT(BT32^2+BU32^2)*1000/(SQRT(3)*BT11),2)</f>
        <v>60.18</v>
      </c>
      <c r="BT32" s="594">
        <v>1.04</v>
      </c>
      <c r="BU32" s="595">
        <v>0.22080000000000002</v>
      </c>
      <c r="BV32" s="575">
        <f>ROUND(SQRT(BW32^2+BX32^2)*1000/(SQRT(3)*BW11),2)</f>
        <v>56.88</v>
      </c>
      <c r="BW32" s="594">
        <v>0.97920000000000007</v>
      </c>
      <c r="BX32" s="595">
        <v>0.22559999999999999</v>
      </c>
      <c r="BY32" s="575">
        <f>ROUND(SQRT(BZ32^2+CA32^2)*1000/(SQRT(3)*BZ11),2)</f>
        <v>53.82</v>
      </c>
      <c r="BZ32" s="594">
        <v>0.92320000000000002</v>
      </c>
      <c r="CA32" s="595">
        <v>0.22719999999999999</v>
      </c>
      <c r="CB32" s="515">
        <f t="shared" ref="CB32:CC37" si="4">SUM(BZ32,BW32,BT32,BQ32,BN32,BK32,BH32,BE32,BB32,AY32,AV32,AS32,AP32,AM32,AJ32,AG32,AD32,AA32,X32,U32,R32,O32,L32,I32)</f>
        <v>24.468799999999995</v>
      </c>
      <c r="CC32" s="515">
        <f t="shared" si="4"/>
        <v>5.7744000000000009</v>
      </c>
    </row>
    <row r="33" spans="1:81" ht="13.5" customHeight="1" x14ac:dyDescent="0.2">
      <c r="A33" s="2296" t="s">
        <v>228</v>
      </c>
      <c r="B33" s="2297"/>
      <c r="C33" s="2298"/>
      <c r="D33" s="948"/>
      <c r="E33" s="854"/>
      <c r="F33" s="853"/>
      <c r="G33" s="855"/>
      <c r="H33" s="575">
        <f>ROUND(SQRT(I33^2+J33^2)*1000/(SQRT(3)*I11),2)</f>
        <v>42.47</v>
      </c>
      <c r="I33" s="594">
        <v>0.72899999999999998</v>
      </c>
      <c r="J33" s="595">
        <v>0.17760000000000004</v>
      </c>
      <c r="K33" s="575">
        <f>ROUND(SQRT(L33^2+M33^2)*1000/(SQRT(3)*L11),2)</f>
        <v>41.25</v>
      </c>
      <c r="L33" s="594">
        <v>0.70679999999999998</v>
      </c>
      <c r="M33" s="595">
        <v>0.17760000000000004</v>
      </c>
      <c r="N33" s="575">
        <f>ROUND(SQRT(O33^2+P33^2)*1000/(SQRT(3)*O11),2)</f>
        <v>40.29</v>
      </c>
      <c r="O33" s="594">
        <v>0.69</v>
      </c>
      <c r="P33" s="595">
        <v>0.17460000000000001</v>
      </c>
      <c r="Q33" s="575">
        <f>ROUND(SQRT(R33^2+S33^2)*1000/(SQRT(3)*R11),2)</f>
        <v>40.299999999999997</v>
      </c>
      <c r="R33" s="594">
        <v>0.69059999999999988</v>
      </c>
      <c r="S33" s="595">
        <v>0.1734</v>
      </c>
      <c r="T33" s="575">
        <f>ROUND(SQRT(U33^2+V33^2)*1000/(SQRT(3)*U11),2)</f>
        <v>40.840000000000003</v>
      </c>
      <c r="U33" s="594">
        <v>0.70020000000000004</v>
      </c>
      <c r="V33" s="595">
        <v>0.17399999999999999</v>
      </c>
      <c r="W33" s="575">
        <f>ROUND(SQRT(X33^2+Y33^2)*1000/(SQRT(3)*X11),2)</f>
        <v>42.41</v>
      </c>
      <c r="X33" s="594">
        <v>0.72839999999999994</v>
      </c>
      <c r="Y33" s="595">
        <v>0.17580000000000001</v>
      </c>
      <c r="Z33" s="575">
        <f>ROUND(SQRT(AA33^2+AB33^2)*1000/(SQRT(3)*AA11),2)</f>
        <v>44.3</v>
      </c>
      <c r="AA33" s="594">
        <v>0.76200000000000001</v>
      </c>
      <c r="AB33" s="595">
        <v>0.1782</v>
      </c>
      <c r="AC33" s="575">
        <f>ROUND(SQRT(AD33^2+AE33^2)*1000/(SQRT(3)*AD11),2)</f>
        <v>44.51</v>
      </c>
      <c r="AD33" s="594">
        <v>0.76619999999999999</v>
      </c>
      <c r="AE33" s="595">
        <v>0.17699999999999999</v>
      </c>
      <c r="AF33" s="575">
        <f>ROUND(SQRT(AG33^2+AH33^2)*1000/(SQRT(3)*AG11),2)</f>
        <v>44.74</v>
      </c>
      <c r="AG33" s="594">
        <v>0.77040000000000008</v>
      </c>
      <c r="AH33" s="595">
        <v>0.1764</v>
      </c>
      <c r="AI33" s="575">
        <f>ROUND(SQRT(AJ33^2+AK33^2)*1000/(SQRT(3)*AJ11),2)</f>
        <v>46.32</v>
      </c>
      <c r="AJ33" s="594">
        <v>0.79800000000000004</v>
      </c>
      <c r="AK33" s="595">
        <v>0.1812</v>
      </c>
      <c r="AL33" s="575">
        <f>ROUND(SQRT(AM33^2+AN33^2)*1000/(SQRT(3)*AM11),2)</f>
        <v>47.65</v>
      </c>
      <c r="AM33" s="594">
        <v>0.81299999999999994</v>
      </c>
      <c r="AN33" s="595">
        <v>0.21840000000000001</v>
      </c>
      <c r="AO33" s="575">
        <f>ROUND(SQRT(AP33^2+AQ33^2)*1000/(SQRT(3)*AP11),2)</f>
        <v>47.06</v>
      </c>
      <c r="AP33" s="594">
        <v>0.8034</v>
      </c>
      <c r="AQ33" s="595">
        <v>0.2142</v>
      </c>
      <c r="AR33" s="575">
        <f>ROUND(SQRT(AS33^2+AT33^2)*1000/(SQRT(3)*AS11),2)</f>
        <v>44.96</v>
      </c>
      <c r="AS33" s="594">
        <v>0.77640000000000009</v>
      </c>
      <c r="AT33" s="595">
        <v>0.16800000000000001</v>
      </c>
      <c r="AU33" s="575">
        <f>ROUND(SQRT(AV33^2+AW33^2)*1000/(SQRT(3)*AV11),2)</f>
        <v>44.43</v>
      </c>
      <c r="AV33" s="594">
        <v>0.76379999999999992</v>
      </c>
      <c r="AW33" s="595">
        <v>0.18059999999999998</v>
      </c>
      <c r="AX33" s="575">
        <f>ROUND(SQRT(AY33^2+AZ33^2)*1000/(SQRT(3)*AY11),2)</f>
        <v>45.2</v>
      </c>
      <c r="AY33" s="594">
        <v>0.7722</v>
      </c>
      <c r="AZ33" s="595">
        <v>0.20339999999999997</v>
      </c>
      <c r="BA33" s="575">
        <f>ROUND(SQRT(BB33^2+BC33^2)*1000/(SQRT(3)*BB11),2)</f>
        <v>46.11</v>
      </c>
      <c r="BB33" s="594">
        <v>0.79020000000000001</v>
      </c>
      <c r="BC33" s="595">
        <v>0.19800000000000001</v>
      </c>
      <c r="BD33" s="575">
        <f>ROUND(SQRT(BE33^2+BF33^2)*1000/(SQRT(3)*BE11),2)</f>
        <v>47.36</v>
      </c>
      <c r="BE33" s="594">
        <v>0.81479999999999997</v>
      </c>
      <c r="BF33" s="595">
        <v>0.19019999999999998</v>
      </c>
      <c r="BG33" s="575">
        <f>ROUND(SQRT(BH33^2+BI33^2)*1000/(SQRT(3)*BH11),2)</f>
        <v>47.6</v>
      </c>
      <c r="BH33" s="594">
        <v>0.82199999999999995</v>
      </c>
      <c r="BI33" s="595">
        <v>0.17760000000000004</v>
      </c>
      <c r="BJ33" s="575">
        <f>ROUND(SQRT(BK33^2+BL33^2)*1000/(SQRT(3)*BK11),2)</f>
        <v>48.49</v>
      </c>
      <c r="BK33" s="594">
        <v>0.8375999999999999</v>
      </c>
      <c r="BL33" s="595">
        <v>0.1794</v>
      </c>
      <c r="BM33" s="575">
        <f>ROUND(SQRT(BN33^2+BO33^2)*1000/(SQRT(3)*BN11),2)</f>
        <v>48.28</v>
      </c>
      <c r="BN33" s="594">
        <v>0.83460000000000001</v>
      </c>
      <c r="BO33" s="595">
        <v>0.17580000000000001</v>
      </c>
      <c r="BP33" s="575">
        <f>ROUND(SQRT(BQ33^2+BR33^2)*1000/(SQRT(3)*BQ11),2)</f>
        <v>49.04</v>
      </c>
      <c r="BQ33" s="594">
        <v>0.84839999999999993</v>
      </c>
      <c r="BR33" s="595">
        <v>0.17519999999999999</v>
      </c>
      <c r="BS33" s="575">
        <f>ROUND(SQRT(BT33^2+BU33^2)*1000/(SQRT(3)*BT11),2)</f>
        <v>47.66</v>
      </c>
      <c r="BT33" s="594">
        <v>0.82320000000000004</v>
      </c>
      <c r="BU33" s="595">
        <v>0.17699999999999999</v>
      </c>
      <c r="BV33" s="575">
        <f>ROUND(SQRT(BW33^2+BX33^2)*1000/(SQRT(3)*BW11),2)</f>
        <v>44.49</v>
      </c>
      <c r="BW33" s="594">
        <v>0.76560000000000006</v>
      </c>
      <c r="BX33" s="595">
        <v>0.17760000000000004</v>
      </c>
      <c r="BY33" s="575">
        <f>ROUND(SQRT(BZ33^2+CA33^2)*1000/(SQRT(3)*BZ11),2)</f>
        <v>41.7</v>
      </c>
      <c r="BZ33" s="594">
        <v>0.71520000000000006</v>
      </c>
      <c r="CA33" s="595">
        <v>0.17699999999999999</v>
      </c>
      <c r="CB33" s="515">
        <f t="shared" si="4"/>
        <v>18.522000000000002</v>
      </c>
      <c r="CC33" s="515">
        <f t="shared" si="4"/>
        <v>4.3782000000000005</v>
      </c>
    </row>
    <row r="34" spans="1:81" x14ac:dyDescent="0.2">
      <c r="A34" s="2299" t="s">
        <v>229</v>
      </c>
      <c r="B34" s="2300"/>
      <c r="C34" s="2301"/>
      <c r="D34" s="949"/>
      <c r="E34" s="950"/>
      <c r="F34" s="951"/>
      <c r="G34" s="952"/>
      <c r="H34" s="575">
        <f>ROUND(SQRT(I34^2+J34^2)*1000/(SQRT(3)*I11),2)</f>
        <v>8.5399999999999991</v>
      </c>
      <c r="I34" s="594">
        <v>0.12680000000000002</v>
      </c>
      <c r="J34" s="595">
        <v>8.1599999999999992E-2</v>
      </c>
      <c r="K34" s="575">
        <f>ROUND(SQRT(L34^2+M34^2)*1000/(SQRT(3)*L11),2)</f>
        <v>8.5</v>
      </c>
      <c r="L34" s="594">
        <v>0.126</v>
      </c>
      <c r="M34" s="595">
        <v>8.1599999999999992E-2</v>
      </c>
      <c r="N34" s="575">
        <f>ROUND(SQRT(O34^2+P34^2)*1000/(SQRT(3)*O11),2)</f>
        <v>8.52</v>
      </c>
      <c r="O34" s="594">
        <v>0.12640000000000001</v>
      </c>
      <c r="P34" s="595">
        <v>8.1599999999999992E-2</v>
      </c>
      <c r="Q34" s="575">
        <f>ROUND(SQRT(R34^2+S34^2)*1000/(SQRT(3)*R11),2)</f>
        <v>8.52</v>
      </c>
      <c r="R34" s="594">
        <v>0.12640000000000001</v>
      </c>
      <c r="S34" s="595">
        <v>8.1599999999999992E-2</v>
      </c>
      <c r="T34" s="575">
        <f>ROUND(SQRT(U34^2+V34^2)*1000/(SQRT(3)*U11),2)</f>
        <v>8.5399999999999991</v>
      </c>
      <c r="U34" s="594">
        <v>0.12680000000000002</v>
      </c>
      <c r="V34" s="595">
        <v>8.1599999999999992E-2</v>
      </c>
      <c r="W34" s="575">
        <f>ROUND(SQRT(X34^2+Y34^2)*1000/(SQRT(3)*X11),2)</f>
        <v>8.52</v>
      </c>
      <c r="X34" s="594">
        <v>0.12640000000000001</v>
      </c>
      <c r="Y34" s="595">
        <v>8.1599999999999992E-2</v>
      </c>
      <c r="Z34" s="575">
        <f>ROUND(SQRT(AA34^2+AB34^2)*1000/(SQRT(3)*AA11),2)</f>
        <v>8.52</v>
      </c>
      <c r="AA34" s="594">
        <v>0.12680000000000002</v>
      </c>
      <c r="AB34" s="595">
        <v>8.1199999999999994E-2</v>
      </c>
      <c r="AC34" s="575">
        <f>ROUND(SQRT(AD34^2+AE34^2)*1000/(SQRT(3)*AD11),2)</f>
        <v>8.4700000000000006</v>
      </c>
      <c r="AD34" s="594">
        <v>0.12559999999999999</v>
      </c>
      <c r="AE34" s="595">
        <v>8.1199999999999994E-2</v>
      </c>
      <c r="AF34" s="575">
        <f>ROUND(SQRT(AG34^2+AH34^2)*1000/(SQRT(3)*AG11),2)</f>
        <v>8.42</v>
      </c>
      <c r="AG34" s="594">
        <v>0.12479999999999999</v>
      </c>
      <c r="AH34" s="595">
        <v>8.0799999999999997E-2</v>
      </c>
      <c r="AI34" s="575">
        <f>ROUND(SQRT(AJ34^2+AK34^2)*1000/(SQRT(3)*AJ11),2)</f>
        <v>9.14</v>
      </c>
      <c r="AJ34" s="594">
        <v>0.13519999999999999</v>
      </c>
      <c r="AK34" s="595">
        <v>8.8400000000000006E-2</v>
      </c>
      <c r="AL34" s="575">
        <f>ROUND(SQRT(AM34^2+AN34^2)*1000/(SQRT(3)*AM11),2)</f>
        <v>9.2100000000000009</v>
      </c>
      <c r="AM34" s="594">
        <v>0.1356</v>
      </c>
      <c r="AN34" s="595">
        <v>0.09</v>
      </c>
      <c r="AO34" s="575">
        <f>ROUND(SQRT(AP34^2+AQ34^2)*1000/(SQRT(3)*AP11),2)</f>
        <v>8.4700000000000006</v>
      </c>
      <c r="AP34" s="594">
        <v>0.12520000000000001</v>
      </c>
      <c r="AQ34" s="595">
        <v>8.2000000000000003E-2</v>
      </c>
      <c r="AR34" s="575">
        <f>ROUND(SQRT(AS34^2+AT34^2)*1000/(SQRT(3)*AS11),2)</f>
        <v>8.3699999999999992</v>
      </c>
      <c r="AS34" s="594">
        <v>0.12359999999999999</v>
      </c>
      <c r="AT34" s="595">
        <v>8.1199999999999994E-2</v>
      </c>
      <c r="AU34" s="575">
        <f>ROUND(SQRT(AV34^2+AW34^2)*1000/(SQRT(3)*AV11),2)</f>
        <v>9.2200000000000006</v>
      </c>
      <c r="AV34" s="594">
        <v>0.13600000000000001</v>
      </c>
      <c r="AW34" s="595">
        <v>8.9599999999999999E-2</v>
      </c>
      <c r="AX34" s="575">
        <f>ROUND(SQRT(AY34^2+AZ34^2)*1000/(SQRT(3)*AY11),2)</f>
        <v>8.59</v>
      </c>
      <c r="AY34" s="594">
        <v>0.12719999999999998</v>
      </c>
      <c r="AZ34" s="595">
        <v>8.2799999999999999E-2</v>
      </c>
      <c r="BA34" s="575">
        <f>ROUND(SQRT(BB34^2+BC34^2)*1000/(SQRT(3)*BB11),2)</f>
        <v>8.35</v>
      </c>
      <c r="BB34" s="594">
        <v>0.124</v>
      </c>
      <c r="BC34" s="595">
        <v>0.08</v>
      </c>
      <c r="BD34" s="575">
        <f>ROUND(SQRT(BE34^2+BF34^2)*1000/(SQRT(3)*BE11),2)</f>
        <v>8.4</v>
      </c>
      <c r="BE34" s="594">
        <v>0.12479999999999999</v>
      </c>
      <c r="BF34" s="595">
        <v>8.0399999999999999E-2</v>
      </c>
      <c r="BG34" s="575">
        <f>ROUND(SQRT(BH34^2+BI34^2)*1000/(SQRT(3)*BH11),2)</f>
        <v>8.3699999999999992</v>
      </c>
      <c r="BH34" s="594">
        <v>0.12440000000000001</v>
      </c>
      <c r="BI34" s="595">
        <v>0.08</v>
      </c>
      <c r="BJ34" s="575">
        <f>ROUND(SQRT(BK34^2+BL34^2)*1000/(SQRT(3)*BK11),2)</f>
        <v>8.3699999999999992</v>
      </c>
      <c r="BK34" s="594">
        <v>0.12440000000000001</v>
      </c>
      <c r="BL34" s="595">
        <v>0.08</v>
      </c>
      <c r="BM34" s="575">
        <f>ROUND(SQRT(BN34^2+BO34^2)*1000/(SQRT(3)*BN11),2)</f>
        <v>8.42</v>
      </c>
      <c r="BN34" s="594">
        <v>0.12519999999999998</v>
      </c>
      <c r="BO34" s="595">
        <v>8.0399999999999999E-2</v>
      </c>
      <c r="BP34" s="575">
        <f>ROUND(SQRT(BQ34^2+BR34^2)*1000/(SQRT(3)*BQ11),2)</f>
        <v>8.43</v>
      </c>
      <c r="BQ34" s="594">
        <v>0.12559999999999999</v>
      </c>
      <c r="BR34" s="595">
        <v>0.08</v>
      </c>
      <c r="BS34" s="575">
        <f>ROUND(SQRT(BT34^2+BU34^2)*1000/(SQRT(3)*BT11),2)</f>
        <v>8.4600000000000009</v>
      </c>
      <c r="BT34" s="594">
        <v>0.126</v>
      </c>
      <c r="BU34" s="595">
        <v>8.0399999999999999E-2</v>
      </c>
      <c r="BV34" s="575">
        <f>ROUND(SQRT(BW34^2+BX34^2)*1000/(SQRT(3)*BW11),2)</f>
        <v>8.4499999999999993</v>
      </c>
      <c r="BW34" s="594">
        <v>0.12559999999999999</v>
      </c>
      <c r="BX34" s="595">
        <v>8.0799999999999997E-2</v>
      </c>
      <c r="BY34" s="575">
        <f>ROUND(SQRT(BZ34^2+CA34^2)*1000/(SQRT(3)*BZ11),2)</f>
        <v>8.48</v>
      </c>
      <c r="BZ34" s="594">
        <v>0.12559999999999999</v>
      </c>
      <c r="CA34" s="595">
        <v>8.1599999999999992E-2</v>
      </c>
      <c r="CB34" s="515">
        <f t="shared" si="4"/>
        <v>3.0443999999999987</v>
      </c>
      <c r="CC34" s="515">
        <f t="shared" si="4"/>
        <v>1.9703999999999995</v>
      </c>
    </row>
    <row r="35" spans="1:81" x14ac:dyDescent="0.2">
      <c r="A35" s="2296" t="s">
        <v>230</v>
      </c>
      <c r="B35" s="2297"/>
      <c r="C35" s="2298"/>
      <c r="D35" s="949"/>
      <c r="E35" s="950"/>
      <c r="F35" s="951"/>
      <c r="G35" s="952"/>
      <c r="H35" s="575">
        <f>ROUND(SQRT(I35^2+J35^2)*1000/(SQRT(3)*I11),2)</f>
        <v>12.39</v>
      </c>
      <c r="I35" s="594">
        <v>0.21839999999999998</v>
      </c>
      <c r="J35" s="595">
        <v>1.4999999999999999E-2</v>
      </c>
      <c r="K35" s="575">
        <f>ROUND(SQRT(L35^2+M35^2)*1000/(SQRT(3)*L11),2)</f>
        <v>12.36</v>
      </c>
      <c r="L35" s="594">
        <v>0.21780000000000002</v>
      </c>
      <c r="M35" s="595">
        <v>1.4999999999999999E-2</v>
      </c>
      <c r="N35" s="575">
        <f>ROUND(SQRT(O35^2+P35^2)*1000/(SQRT(3)*O11),2)</f>
        <v>12.43</v>
      </c>
      <c r="O35" s="594">
        <v>0.219</v>
      </c>
      <c r="P35" s="595">
        <v>1.6800000000000002E-2</v>
      </c>
      <c r="Q35" s="575">
        <f>ROUND(SQRT(R35^2+S35^2)*1000/(SQRT(3)*R11),2)</f>
        <v>12.02</v>
      </c>
      <c r="R35" s="594">
        <v>0.21180000000000002</v>
      </c>
      <c r="S35" s="595">
        <v>1.5599999999999999E-2</v>
      </c>
      <c r="T35" s="575">
        <f>ROUND(SQRT(U35^2+V35^2)*1000/(SQRT(3)*U11),2)</f>
        <v>11.99</v>
      </c>
      <c r="U35" s="594">
        <v>0.2112</v>
      </c>
      <c r="V35" s="595">
        <v>1.6800000000000002E-2</v>
      </c>
      <c r="W35" s="575">
        <f>ROUND(SQRT(X35^2+Y35^2)*1000/(SQRT(3)*X11),2)</f>
        <v>12.22</v>
      </c>
      <c r="X35" s="594">
        <v>0.21540000000000001</v>
      </c>
      <c r="Y35" s="595">
        <v>1.44E-2</v>
      </c>
      <c r="Z35" s="575">
        <f>ROUND(SQRT(AA35^2+AB35^2)*1000/(SQRT(3)*AA11),2)</f>
        <v>12.67</v>
      </c>
      <c r="AA35" s="594">
        <v>0.22319999999999998</v>
      </c>
      <c r="AB35" s="595">
        <v>1.6800000000000002E-2</v>
      </c>
      <c r="AC35" s="575">
        <f>ROUND(SQRT(AD35^2+AE35^2)*1000/(SQRT(3)*AD11),2)</f>
        <v>13.69</v>
      </c>
      <c r="AD35" s="594">
        <v>0.2412</v>
      </c>
      <c r="AE35" s="595">
        <v>1.8600000000000002E-2</v>
      </c>
      <c r="AF35" s="575">
        <f>ROUND(SQRT(AG35^2+AH35^2)*1000/(SQRT(3)*AG11),2)</f>
        <v>15.21</v>
      </c>
      <c r="AG35" s="594">
        <v>0.2676</v>
      </c>
      <c r="AH35" s="595">
        <v>2.46E-2</v>
      </c>
      <c r="AI35" s="575">
        <f>ROUND(SQRT(AJ35^2+AK35^2)*1000/(SQRT(3)*AJ11),2)</f>
        <v>15.84</v>
      </c>
      <c r="AJ35" s="594">
        <v>0.2772</v>
      </c>
      <c r="AK35" s="595">
        <v>3.8399999999999997E-2</v>
      </c>
      <c r="AL35" s="575">
        <f>ROUND(SQRT(AM35^2+AN35^2)*1000/(SQRT(3)*AM11),2)</f>
        <v>13.84</v>
      </c>
      <c r="AM35" s="594">
        <v>0.2424</v>
      </c>
      <c r="AN35" s="595">
        <v>3.2399999999999998E-2</v>
      </c>
      <c r="AO35" s="575">
        <f>ROUND(SQRT(AP35^2+AQ35^2)*1000/(SQRT(3)*AP11),2)</f>
        <v>12.8</v>
      </c>
      <c r="AP35" s="594">
        <v>0.22560000000000002</v>
      </c>
      <c r="AQ35" s="595">
        <v>1.44E-2</v>
      </c>
      <c r="AR35" s="575">
        <f>ROUND(SQRT(AS35^2+AT35^2)*1000/(SQRT(3)*AS11),2)</f>
        <v>11.91</v>
      </c>
      <c r="AS35" s="594">
        <v>0.21</v>
      </c>
      <c r="AT35" s="595">
        <v>1.3800000000000002E-2</v>
      </c>
      <c r="AU35" s="575">
        <f>ROUND(SQRT(AV35^2+AW35^2)*1000/(SQRT(3)*AV11),2)</f>
        <v>12.98</v>
      </c>
      <c r="AV35" s="594">
        <v>0.2286</v>
      </c>
      <c r="AW35" s="595">
        <v>1.9199999999999998E-2</v>
      </c>
      <c r="AX35" s="575">
        <f>ROUND(SQRT(AY35^2+AZ35^2)*1000/(SQRT(3)*AY11),2)</f>
        <v>12.85</v>
      </c>
      <c r="AY35" s="594">
        <v>0.2268</v>
      </c>
      <c r="AZ35" s="595">
        <v>1.14E-2</v>
      </c>
      <c r="BA35" s="575">
        <f>ROUND(SQRT(BB35^2+BC35^2)*1000/(SQRT(3)*BB11),2)</f>
        <v>13.96</v>
      </c>
      <c r="BB35" s="594">
        <v>0.24480000000000002</v>
      </c>
      <c r="BC35" s="595">
        <v>0.03</v>
      </c>
      <c r="BD35" s="575">
        <f>ROUND(SQRT(BE35^2+BF35^2)*1000/(SQRT(3)*BE11),2)</f>
        <v>15.3</v>
      </c>
      <c r="BE35" s="594">
        <v>0.26820000000000005</v>
      </c>
      <c r="BF35" s="595">
        <v>3.4200000000000001E-2</v>
      </c>
      <c r="BG35" s="575">
        <f>ROUND(SQRT(BH35^2+BI35^2)*1000/(SQRT(3)*BH11),2)</f>
        <v>13.88</v>
      </c>
      <c r="BH35" s="594">
        <v>0.24480000000000002</v>
      </c>
      <c r="BI35" s="595">
        <v>1.4999999999999999E-2</v>
      </c>
      <c r="BJ35" s="575">
        <f>ROUND(SQRT(BK35^2+BL35^2)*1000/(SQRT(3)*BK11),2)</f>
        <v>13.85</v>
      </c>
      <c r="BK35" s="594">
        <v>0.24299999999999999</v>
      </c>
      <c r="BL35" s="595">
        <v>2.8199999999999999E-2</v>
      </c>
      <c r="BM35" s="575">
        <f>ROUND(SQRT(BN35^2+BO35^2)*1000/(SQRT(3)*BN11),2)</f>
        <v>12.67</v>
      </c>
      <c r="BN35" s="594">
        <v>0.22319999999999998</v>
      </c>
      <c r="BO35" s="595">
        <v>1.7999999999999999E-2</v>
      </c>
      <c r="BP35" s="575">
        <f>ROUND(SQRT(BQ35^2+BR35^2)*1000/(SQRT(3)*BQ11),2)</f>
        <v>12.43</v>
      </c>
      <c r="BQ35" s="594">
        <v>0.219</v>
      </c>
      <c r="BR35" s="595">
        <v>1.5599999999999999E-2</v>
      </c>
      <c r="BS35" s="575">
        <f>ROUND(SQRT(BT35^2+BU35^2)*1000/(SQRT(3)*BT11),2)</f>
        <v>12.38</v>
      </c>
      <c r="BT35" s="594">
        <v>0.21840000000000001</v>
      </c>
      <c r="BU35" s="595">
        <v>1.32E-2</v>
      </c>
      <c r="BV35" s="575">
        <f>ROUND(SQRT(BW35^2+BX35^2)*1000/(SQRT(3)*BW11),2)</f>
        <v>12.33</v>
      </c>
      <c r="BW35" s="594">
        <v>0.21719999999999998</v>
      </c>
      <c r="BX35" s="595">
        <v>1.6199999999999999E-2</v>
      </c>
      <c r="BY35" s="575">
        <f>ROUND(SQRT(BZ35^2+CA35^2)*1000/(SQRT(3)*BZ11),2)</f>
        <v>12.09</v>
      </c>
      <c r="BZ35" s="594">
        <v>0.21299999999999999</v>
      </c>
      <c r="CA35" s="595">
        <v>1.5600000000000001E-2</v>
      </c>
      <c r="CB35" s="515">
        <f t="shared" si="4"/>
        <v>5.5278000000000009</v>
      </c>
      <c r="CC35" s="515">
        <f t="shared" si="4"/>
        <v>0.46920000000000001</v>
      </c>
    </row>
    <row r="36" spans="1:81" x14ac:dyDescent="0.2">
      <c r="A36" s="2296" t="s">
        <v>231</v>
      </c>
      <c r="B36" s="2297"/>
      <c r="C36" s="2298"/>
      <c r="D36" s="948"/>
      <c r="E36" s="854"/>
      <c r="F36" s="853"/>
      <c r="G36" s="953"/>
      <c r="H36" s="575">
        <f>ROUND(SQRT(I36^2+J36^2)*1000/(SQRT(3)*I11),2)</f>
        <v>43.11</v>
      </c>
      <c r="I36" s="594">
        <v>0.72159999999999991</v>
      </c>
      <c r="J36" s="595">
        <v>0.24359999999999998</v>
      </c>
      <c r="K36" s="575">
        <f>ROUND(SQRT(L36^2+M36^2)*1000/(SQRT(3)*L11),2)</f>
        <v>43.72</v>
      </c>
      <c r="L36" s="594">
        <v>0.73120000000000007</v>
      </c>
      <c r="M36" s="595">
        <v>0.24880000000000002</v>
      </c>
      <c r="N36" s="575">
        <f>ROUND(SQRT(O36^2+P36^2)*1000/(SQRT(3)*O11),2)</f>
        <v>43.08</v>
      </c>
      <c r="O36" s="594">
        <v>0.7208</v>
      </c>
      <c r="P36" s="595">
        <v>0.24440000000000001</v>
      </c>
      <c r="Q36" s="575">
        <f>ROUND(SQRT(R36^2+S36^2)*1000/(SQRT(3)*R11),2)</f>
        <v>43.78</v>
      </c>
      <c r="R36" s="594">
        <v>0.73239999999999994</v>
      </c>
      <c r="S36" s="595">
        <v>0.24840000000000001</v>
      </c>
      <c r="T36" s="575">
        <f>ROUND(SQRT(U36^2+V36^2)*1000/(SQRT(3)*U11),2)</f>
        <v>42.84</v>
      </c>
      <c r="U36" s="594">
        <v>0.71679999999999999</v>
      </c>
      <c r="V36" s="595">
        <v>0.2432</v>
      </c>
      <c r="W36" s="575">
        <f>ROUND(SQRT(X36^2+Y36^2)*1000/(SQRT(3)*X11),2)</f>
        <v>43.62</v>
      </c>
      <c r="X36" s="594">
        <v>0.73</v>
      </c>
      <c r="Y36" s="595">
        <v>0.24719999999999998</v>
      </c>
      <c r="Z36" s="575">
        <f>ROUND(SQRT(AA36^2+AB36^2)*1000/(SQRT(3)*AA11),2)</f>
        <v>43.37</v>
      </c>
      <c r="AA36" s="594">
        <v>0.72559999999999991</v>
      </c>
      <c r="AB36" s="595">
        <v>0.246</v>
      </c>
      <c r="AC36" s="575">
        <f>ROUND(SQRT(AD36^2+AE36^2)*1000/(SQRT(3)*AD11),2)</f>
        <v>42.8</v>
      </c>
      <c r="AD36" s="594">
        <v>0.71520000000000006</v>
      </c>
      <c r="AE36" s="595">
        <v>0.24560000000000001</v>
      </c>
      <c r="AF36" s="575">
        <f>ROUND(SQRT(AG36^2+AH36^2)*1000/(SQRT(3)*AG11),2)</f>
        <v>42.35</v>
      </c>
      <c r="AG36" s="594">
        <v>0.70679999999999998</v>
      </c>
      <c r="AH36" s="595">
        <v>0.24559999999999998</v>
      </c>
      <c r="AI36" s="575">
        <f>ROUND(SQRT(AJ36^2+AK36^2)*1000/(SQRT(3)*AJ11),2)</f>
        <v>41.92</v>
      </c>
      <c r="AJ36" s="594">
        <v>0.69879999999999998</v>
      </c>
      <c r="AK36" s="595">
        <v>0.2452</v>
      </c>
      <c r="AL36" s="575">
        <f>ROUND(SQRT(AM36^2+AN36^2)*1000/(SQRT(3)*AM11),2)</f>
        <v>41.77</v>
      </c>
      <c r="AM36" s="594">
        <v>0.69559999999999989</v>
      </c>
      <c r="AN36" s="595">
        <v>0.24639999999999998</v>
      </c>
      <c r="AO36" s="575">
        <f>ROUND(SQRT(AP36^2+AQ36^2)*1000/(SQRT(3)*AP11),2)</f>
        <v>42.42</v>
      </c>
      <c r="AP36" s="594">
        <v>0.70799999999999996</v>
      </c>
      <c r="AQ36" s="595">
        <v>0.24559999999999998</v>
      </c>
      <c r="AR36" s="575">
        <f>ROUND(SQRT(AS36^2+AT36^2)*1000/(SQRT(3)*AS11),2)</f>
        <v>42.32</v>
      </c>
      <c r="AS36" s="594">
        <v>0.70679999999999998</v>
      </c>
      <c r="AT36" s="595">
        <v>0.24399999999999999</v>
      </c>
      <c r="AU36" s="575">
        <f>ROUND(SQRT(AV36^2+AW36^2)*1000/(SQRT(3)*AV11),2)</f>
        <v>42.07</v>
      </c>
      <c r="AV36" s="594">
        <v>0.70199999999999996</v>
      </c>
      <c r="AW36" s="595">
        <v>0.24399999999999999</v>
      </c>
      <c r="AX36" s="575">
        <f>ROUND(SQRT(AY36^2+AZ36^2)*1000/(SQRT(3)*AY11),2)</f>
        <v>42</v>
      </c>
      <c r="AY36" s="594">
        <v>0.70040000000000013</v>
      </c>
      <c r="AZ36" s="595">
        <v>0.24480000000000002</v>
      </c>
      <c r="BA36" s="575">
        <f>ROUND(SQRT(BB36^2+BC36^2)*1000/(SQRT(3)*BB11),2)</f>
        <v>41.73</v>
      </c>
      <c r="BB36" s="594">
        <v>0.69640000000000002</v>
      </c>
      <c r="BC36" s="595">
        <v>0.24199999999999999</v>
      </c>
      <c r="BD36" s="575">
        <f>ROUND(SQRT(BE36^2+BF36^2)*1000/(SQRT(3)*BE11),2)</f>
        <v>42.42</v>
      </c>
      <c r="BE36" s="594">
        <v>0.70799999999999996</v>
      </c>
      <c r="BF36" s="595">
        <v>0.24560000000000001</v>
      </c>
      <c r="BG36" s="575">
        <f>ROUND(SQRT(BH36^2+BI36^2)*1000/(SQRT(3)*BH11),2)</f>
        <v>40.1</v>
      </c>
      <c r="BH36" s="594">
        <v>0.67079999999999995</v>
      </c>
      <c r="BI36" s="595">
        <v>0.22760000000000002</v>
      </c>
      <c r="BJ36" s="575">
        <f>ROUND(SQRT(BK36^2+BL36^2)*1000/(SQRT(3)*BK11),2)</f>
        <v>41.07</v>
      </c>
      <c r="BK36" s="594">
        <v>0.68720000000000003</v>
      </c>
      <c r="BL36" s="595">
        <v>0.23280000000000001</v>
      </c>
      <c r="BM36" s="575">
        <f>ROUND(SQRT(BN36^2+BO36^2)*1000/(SQRT(3)*BN11),2)</f>
        <v>40.86</v>
      </c>
      <c r="BN36" s="594">
        <v>0.68400000000000005</v>
      </c>
      <c r="BO36" s="595">
        <v>0.23080000000000001</v>
      </c>
      <c r="BP36" s="575">
        <f>ROUND(SQRT(BQ36^2+BR36^2)*1000/(SQRT(3)*BQ11),2)</f>
        <v>40.9</v>
      </c>
      <c r="BQ36" s="594">
        <v>0.68520000000000003</v>
      </c>
      <c r="BR36" s="595">
        <v>0.22919999999999999</v>
      </c>
      <c r="BS36" s="575">
        <f>ROUND(SQRT(BT36^2+BU36^2)*1000/(SQRT(3)*BT11),2)</f>
        <v>40.6</v>
      </c>
      <c r="BT36" s="594">
        <v>0.6804</v>
      </c>
      <c r="BU36" s="595">
        <v>0.22719999999999999</v>
      </c>
      <c r="BV36" s="575">
        <f>ROUND(SQRT(BW36^2+BX36^2)*1000/(SQRT(3)*BW11),2)</f>
        <v>40.729999999999997</v>
      </c>
      <c r="BW36" s="594">
        <v>0.68200000000000005</v>
      </c>
      <c r="BX36" s="595">
        <v>0.2296</v>
      </c>
      <c r="BY36" s="575">
        <f>ROUND(SQRT(BZ36^2+CA36^2)*1000/(SQRT(3)*BZ11),2)</f>
        <v>40.880000000000003</v>
      </c>
      <c r="BZ36" s="594">
        <v>0.68359999999999987</v>
      </c>
      <c r="CA36" s="595">
        <v>0.23280000000000001</v>
      </c>
      <c r="CB36" s="515">
        <f t="shared" si="4"/>
        <v>16.889599999999998</v>
      </c>
      <c r="CC36" s="515">
        <f t="shared" si="4"/>
        <v>5.7804000000000002</v>
      </c>
    </row>
    <row r="37" spans="1:81" ht="13.5" thickBot="1" x14ac:dyDescent="0.25">
      <c r="A37" s="2270" t="s">
        <v>232</v>
      </c>
      <c r="B37" s="2302"/>
      <c r="C37" s="2271"/>
      <c r="D37" s="954"/>
      <c r="E37" s="955"/>
      <c r="F37" s="956"/>
      <c r="G37" s="957"/>
      <c r="H37" s="575">
        <f>ROUND(SQRT(I37^2+J37^2)*1000/(SQRT(3)*I11),2)</f>
        <v>9.49</v>
      </c>
      <c r="I37" s="594">
        <v>0.16500000000000001</v>
      </c>
      <c r="J37" s="595">
        <v>2.9399999999999999E-2</v>
      </c>
      <c r="K37" s="575">
        <f>ROUND(SQRT(L37^2+M37^2)*1000/(SQRT(3)*L11),2)</f>
        <v>9.25</v>
      </c>
      <c r="L37" s="594">
        <v>0.1608</v>
      </c>
      <c r="M37" s="595">
        <v>2.9399999999999999E-2</v>
      </c>
      <c r="N37" s="575">
        <f>ROUND(SQRT(O37^2+P37^2)*1000/(SQRT(3)*O11),2)</f>
        <v>9.32</v>
      </c>
      <c r="O37" s="594">
        <v>0.16200000000000001</v>
      </c>
      <c r="P37" s="595">
        <v>2.9399999999999999E-2</v>
      </c>
      <c r="Q37" s="575">
        <f>ROUND(SQRT(R37^2+S37^2)*1000/(SQRT(3)*R11),2)</f>
        <v>9.2100000000000009</v>
      </c>
      <c r="R37" s="594">
        <v>0.16019999999999998</v>
      </c>
      <c r="S37" s="595">
        <v>2.8799999999999999E-2</v>
      </c>
      <c r="T37" s="575">
        <f>ROUND(SQRT(U37^2+V37^2)*1000/(SQRT(3)*U11),2)</f>
        <v>9.2899999999999991</v>
      </c>
      <c r="U37" s="594">
        <v>0.16139999999999999</v>
      </c>
      <c r="V37" s="595">
        <v>2.9399999999999999E-2</v>
      </c>
      <c r="W37" s="575">
        <f>ROUND(SQRT(X37^2+Y37^2)*1000/(SQRT(3)*X11),2)</f>
        <v>9.32</v>
      </c>
      <c r="X37" s="594">
        <v>0.16200000000000001</v>
      </c>
      <c r="Y37" s="595">
        <v>2.9399999999999999E-2</v>
      </c>
      <c r="Z37" s="575">
        <f>ROUND(SQRT(AA37^2+AB37^2)*1000/(SQRT(3)*AA11),2)</f>
        <v>9.58</v>
      </c>
      <c r="AA37" s="594">
        <v>0.1668</v>
      </c>
      <c r="AB37" s="595">
        <v>2.8799999999999999E-2</v>
      </c>
      <c r="AC37" s="575">
        <f>ROUND(SQRT(AD37^2+AE37^2)*1000/(SQRT(3)*AD11),2)</f>
        <v>9.4499999999999993</v>
      </c>
      <c r="AD37" s="594">
        <v>0.16440000000000002</v>
      </c>
      <c r="AE37" s="595">
        <v>2.9399999999999999E-2</v>
      </c>
      <c r="AF37" s="575">
        <f>ROUND(SQRT(AG37^2+AH37^2)*1000/(SQRT(3)*AG11),2)</f>
        <v>9.59</v>
      </c>
      <c r="AG37" s="594">
        <v>0.1668</v>
      </c>
      <c r="AH37" s="595">
        <v>2.9399999999999999E-2</v>
      </c>
      <c r="AI37" s="575">
        <f>ROUND(SQRT(AJ37^2+AK37^2)*1000/(SQRT(3)*AJ11),2)</f>
        <v>9.52</v>
      </c>
      <c r="AJ37" s="594">
        <v>0.16500000000000001</v>
      </c>
      <c r="AK37" s="595">
        <v>3.3000000000000002E-2</v>
      </c>
      <c r="AL37" s="575">
        <f>ROUND(SQRT(AM37^2+AN37^2)*1000/(SQRT(3)*AM11),2)</f>
        <v>9.8000000000000007</v>
      </c>
      <c r="AM37" s="594">
        <v>0.1704</v>
      </c>
      <c r="AN37" s="595">
        <v>3.0600000000000002E-2</v>
      </c>
      <c r="AO37" s="575">
        <f>ROUND(SQRT(AP37^2+AQ37^2)*1000/(SQRT(3)*AP11),2)</f>
        <v>9.41</v>
      </c>
      <c r="AP37" s="594">
        <v>0.1638</v>
      </c>
      <c r="AQ37" s="595">
        <v>2.8200000000000003E-2</v>
      </c>
      <c r="AR37" s="575">
        <f>ROUND(SQRT(AS37^2+AT37^2)*1000/(SQRT(3)*AS11),2)</f>
        <v>9.3699999999999992</v>
      </c>
      <c r="AS37" s="594">
        <v>0.16319999999999998</v>
      </c>
      <c r="AT37" s="595">
        <v>2.8200000000000003E-2</v>
      </c>
      <c r="AU37" s="575">
        <f>ROUND(SQRT(AV37^2+AW37^2)*1000/(SQRT(3)*AV11),2)</f>
        <v>9.84</v>
      </c>
      <c r="AV37" s="594">
        <v>0.17039999999999997</v>
      </c>
      <c r="AW37" s="595">
        <v>3.4200000000000001E-2</v>
      </c>
      <c r="AX37" s="575">
        <f>ROUND(SQRT(AY37^2+AZ37^2)*1000/(SQRT(3)*AY11),2)</f>
        <v>9.86</v>
      </c>
      <c r="AY37" s="594">
        <v>0.1704</v>
      </c>
      <c r="AZ37" s="595">
        <v>3.5999999999999997E-2</v>
      </c>
      <c r="BA37" s="575">
        <f>ROUND(SQRT(BB37^2+BC37^2)*1000/(SQRT(3)*BB11),2)</f>
        <v>9.6</v>
      </c>
      <c r="BB37" s="594">
        <v>0.1668</v>
      </c>
      <c r="BC37" s="595">
        <v>3.0600000000000002E-2</v>
      </c>
      <c r="BD37" s="575">
        <f>ROUND(SQRT(BE37^2+BF37^2)*1000/(SQRT(3)*BE11),2)</f>
        <v>10.02</v>
      </c>
      <c r="BE37" s="594">
        <v>0.17460000000000001</v>
      </c>
      <c r="BF37" s="595">
        <v>2.8799999999999999E-2</v>
      </c>
      <c r="BG37" s="575">
        <f>ROUND(SQRT(BH37^2+BI37^2)*1000/(SQRT(3)*BH11),2)</f>
        <v>9.36</v>
      </c>
      <c r="BH37" s="594">
        <v>0.16319999999999998</v>
      </c>
      <c r="BI37" s="595">
        <v>2.7E-2</v>
      </c>
      <c r="BJ37" s="575">
        <f>ROUND(SQRT(BK37^2+BL37^2)*1000/(SQRT(3)*BK11),2)</f>
        <v>9.6999999999999993</v>
      </c>
      <c r="BK37" s="594">
        <v>0.16919999999999999</v>
      </c>
      <c r="BL37" s="595">
        <v>2.7600000000000003E-2</v>
      </c>
      <c r="BM37" s="575">
        <f>ROUND(SQRT(BN37^2+BO37^2)*1000/(SQRT(3)*BN11),2)</f>
        <v>9.5</v>
      </c>
      <c r="BN37" s="594">
        <v>0.1656</v>
      </c>
      <c r="BO37" s="595">
        <v>2.7600000000000003E-2</v>
      </c>
      <c r="BP37" s="575">
        <f>ROUND(SQRT(BQ37^2+BR37^2)*1000/(SQRT(3)*BQ11),2)</f>
        <v>9.6</v>
      </c>
      <c r="BQ37" s="594">
        <v>0.16739999999999999</v>
      </c>
      <c r="BR37" s="595">
        <v>2.7600000000000003E-2</v>
      </c>
      <c r="BS37" s="575">
        <f>ROUND(SQRT(BT37^2+BU37^2)*1000/(SQRT(3)*BT11),2)</f>
        <v>9.67</v>
      </c>
      <c r="BT37" s="594">
        <v>0.1686</v>
      </c>
      <c r="BU37" s="595">
        <v>2.7600000000000003E-2</v>
      </c>
      <c r="BV37" s="575">
        <f>ROUND(SQRT(BW37^2+BX37^2)*1000/(SQRT(3)*BW11),2)</f>
        <v>9.3000000000000007</v>
      </c>
      <c r="BW37" s="594">
        <v>0.16200000000000001</v>
      </c>
      <c r="BX37" s="595">
        <v>2.7600000000000003E-2</v>
      </c>
      <c r="BY37" s="575">
        <f>ROUND(SQRT(BZ37^2+CA37^2)*1000/(SQRT(3)*BZ11),2)</f>
        <v>9.31</v>
      </c>
      <c r="BZ37" s="594">
        <v>0.16200000000000001</v>
      </c>
      <c r="CA37" s="595">
        <v>2.8200000000000003E-2</v>
      </c>
      <c r="CB37" s="515">
        <f t="shared" si="4"/>
        <v>3.9719999999999995</v>
      </c>
      <c r="CC37" s="515">
        <f t="shared" si="4"/>
        <v>0.70619999999999994</v>
      </c>
    </row>
    <row r="38" spans="1:81" x14ac:dyDescent="0.2">
      <c r="A38" s="2303" t="s">
        <v>233</v>
      </c>
      <c r="B38" s="2304"/>
      <c r="C38" s="2305"/>
      <c r="D38" s="949"/>
      <c r="E38" s="950"/>
      <c r="F38" s="951"/>
      <c r="G38" s="958"/>
      <c r="H38" s="946">
        <f t="shared" ref="H38:BS38" si="5">H41+H42+H43+H44+H39+H40</f>
        <v>170.5</v>
      </c>
      <c r="I38" s="947">
        <f t="shared" si="5"/>
        <v>2.9005999999999998</v>
      </c>
      <c r="J38" s="947">
        <f t="shared" si="5"/>
        <v>0.68299999999999994</v>
      </c>
      <c r="K38" s="946">
        <f t="shared" si="5"/>
        <v>163.44</v>
      </c>
      <c r="L38" s="947">
        <f t="shared" si="5"/>
        <v>2.7747999999999999</v>
      </c>
      <c r="M38" s="947">
        <f t="shared" si="5"/>
        <v>0.67720000000000002</v>
      </c>
      <c r="N38" s="946">
        <f t="shared" si="5"/>
        <v>159.93</v>
      </c>
      <c r="O38" s="947">
        <f t="shared" si="5"/>
        <v>2.7120000000000002</v>
      </c>
      <c r="P38" s="947">
        <f t="shared" si="5"/>
        <v>0.67559999999999998</v>
      </c>
      <c r="Q38" s="946">
        <f t="shared" si="5"/>
        <v>156.91</v>
      </c>
      <c r="R38" s="947">
        <f t="shared" si="5"/>
        <v>2.6577999999999999</v>
      </c>
      <c r="S38" s="947">
        <f t="shared" si="5"/>
        <v>0.67459999999999998</v>
      </c>
      <c r="T38" s="946">
        <f t="shared" si="5"/>
        <v>157.44</v>
      </c>
      <c r="U38" s="947">
        <f t="shared" si="5"/>
        <v>2.6678000000000002</v>
      </c>
      <c r="V38" s="947">
        <f t="shared" si="5"/>
        <v>0.67420000000000002</v>
      </c>
      <c r="W38" s="946">
        <f t="shared" si="5"/>
        <v>160.05000000000001</v>
      </c>
      <c r="X38" s="947">
        <f t="shared" si="5"/>
        <v>2.7149999999999999</v>
      </c>
      <c r="Y38" s="947">
        <f t="shared" si="5"/>
        <v>0.67380000000000007</v>
      </c>
      <c r="Z38" s="946">
        <f t="shared" si="5"/>
        <v>175.22</v>
      </c>
      <c r="AA38" s="947">
        <f t="shared" si="5"/>
        <v>2.9836</v>
      </c>
      <c r="AB38" s="947">
        <f t="shared" si="5"/>
        <v>0.69259999999999999</v>
      </c>
      <c r="AC38" s="946">
        <f t="shared" si="5"/>
        <v>189</v>
      </c>
      <c r="AD38" s="947">
        <f t="shared" si="5"/>
        <v>3.23</v>
      </c>
      <c r="AE38" s="947">
        <f t="shared" si="5"/>
        <v>0.69740000000000002</v>
      </c>
      <c r="AF38" s="946">
        <f t="shared" si="5"/>
        <v>196.74</v>
      </c>
      <c r="AG38" s="947">
        <f t="shared" si="5"/>
        <v>3.3696000000000002</v>
      </c>
      <c r="AH38" s="947">
        <f t="shared" si="5"/>
        <v>0.69300000000000006</v>
      </c>
      <c r="AI38" s="946">
        <f t="shared" si="5"/>
        <v>201.32999999999998</v>
      </c>
      <c r="AJ38" s="947">
        <f t="shared" si="5"/>
        <v>3.4497999999999998</v>
      </c>
      <c r="AK38" s="947">
        <f t="shared" si="5"/>
        <v>0.70140000000000002</v>
      </c>
      <c r="AL38" s="946">
        <f t="shared" si="5"/>
        <v>197.69</v>
      </c>
      <c r="AM38" s="947">
        <f t="shared" si="5"/>
        <v>3.3859999999999997</v>
      </c>
      <c r="AN38" s="947">
        <f t="shared" si="5"/>
        <v>0.69660000000000011</v>
      </c>
      <c r="AO38" s="946">
        <f t="shared" si="5"/>
        <v>197.72</v>
      </c>
      <c r="AP38" s="947">
        <f t="shared" si="5"/>
        <v>3.3854000000000002</v>
      </c>
      <c r="AQ38" s="947">
        <f t="shared" si="5"/>
        <v>0.70120000000000005</v>
      </c>
      <c r="AR38" s="946">
        <f t="shared" si="5"/>
        <v>198.48000000000002</v>
      </c>
      <c r="AS38" s="947">
        <f t="shared" si="5"/>
        <v>3.4016000000000002</v>
      </c>
      <c r="AT38" s="947">
        <f t="shared" si="5"/>
        <v>0.68959999999999999</v>
      </c>
      <c r="AU38" s="946">
        <f t="shared" si="5"/>
        <v>197.93</v>
      </c>
      <c r="AV38" s="947">
        <f t="shared" si="5"/>
        <v>3.3888000000000007</v>
      </c>
      <c r="AW38" s="947">
        <f t="shared" si="5"/>
        <v>0.70099999999999996</v>
      </c>
      <c r="AX38" s="946">
        <f t="shared" si="5"/>
        <v>196.38</v>
      </c>
      <c r="AY38" s="947">
        <f t="shared" si="5"/>
        <v>3.3601999999999999</v>
      </c>
      <c r="AZ38" s="947">
        <f t="shared" si="5"/>
        <v>0.70619999999999994</v>
      </c>
      <c r="BA38" s="946">
        <f t="shared" si="5"/>
        <v>199.77999999999997</v>
      </c>
      <c r="BB38" s="947">
        <f t="shared" si="5"/>
        <v>3.4208000000000003</v>
      </c>
      <c r="BC38" s="947">
        <f t="shared" si="5"/>
        <v>0.70540000000000003</v>
      </c>
      <c r="BD38" s="946">
        <f t="shared" si="5"/>
        <v>206.04000000000002</v>
      </c>
      <c r="BE38" s="947">
        <f t="shared" si="5"/>
        <v>3.5317999999999996</v>
      </c>
      <c r="BF38" s="947">
        <f t="shared" si="5"/>
        <v>0.70720000000000005</v>
      </c>
      <c r="BG38" s="946">
        <f t="shared" si="5"/>
        <v>207.99999999999997</v>
      </c>
      <c r="BH38" s="947">
        <f t="shared" si="5"/>
        <v>3.5682</v>
      </c>
      <c r="BI38" s="947">
        <f t="shared" si="5"/>
        <v>0.70220000000000016</v>
      </c>
      <c r="BJ38" s="946">
        <f t="shared" si="5"/>
        <v>209.56</v>
      </c>
      <c r="BK38" s="947">
        <f t="shared" si="5"/>
        <v>3.5999999999999996</v>
      </c>
      <c r="BL38" s="947">
        <f t="shared" si="5"/>
        <v>0.67940000000000011</v>
      </c>
      <c r="BM38" s="946">
        <f t="shared" si="5"/>
        <v>208.35</v>
      </c>
      <c r="BN38" s="947">
        <f t="shared" si="5"/>
        <v>3.5779999999999998</v>
      </c>
      <c r="BO38" s="947">
        <f t="shared" si="5"/>
        <v>0.6804</v>
      </c>
      <c r="BP38" s="946">
        <f t="shared" si="5"/>
        <v>206.60999999999999</v>
      </c>
      <c r="BQ38" s="947">
        <f t="shared" si="5"/>
        <v>3.5459999999999998</v>
      </c>
      <c r="BR38" s="947">
        <f t="shared" si="5"/>
        <v>0.68500000000000005</v>
      </c>
      <c r="BS38" s="946">
        <f t="shared" si="5"/>
        <v>202.03999999999996</v>
      </c>
      <c r="BT38" s="947">
        <f t="shared" ref="BT38:CA38" si="6">BT41+BT42+BT43+BT44+BT39+BT40</f>
        <v>3.4606000000000003</v>
      </c>
      <c r="BU38" s="947">
        <f t="shared" si="6"/>
        <v>0.70520000000000005</v>
      </c>
      <c r="BV38" s="946">
        <f t="shared" si="6"/>
        <v>192.68</v>
      </c>
      <c r="BW38" s="947">
        <f t="shared" si="6"/>
        <v>3.2917999999999998</v>
      </c>
      <c r="BX38" s="947">
        <f t="shared" si="6"/>
        <v>0.71139999999999992</v>
      </c>
      <c r="BY38" s="946">
        <f t="shared" si="6"/>
        <v>178.5</v>
      </c>
      <c r="BZ38" s="947">
        <f t="shared" si="6"/>
        <v>3.0406</v>
      </c>
      <c r="CA38" s="947">
        <f t="shared" si="6"/>
        <v>0.70100000000000007</v>
      </c>
      <c r="CB38" s="515"/>
      <c r="CC38" s="959"/>
    </row>
    <row r="39" spans="1:81" x14ac:dyDescent="0.2">
      <c r="A39" s="2296" t="s">
        <v>234</v>
      </c>
      <c r="B39" s="2297"/>
      <c r="C39" s="2298"/>
      <c r="D39" s="948"/>
      <c r="E39" s="854"/>
      <c r="F39" s="853"/>
      <c r="G39" s="960"/>
      <c r="H39" s="575">
        <f>ROUND(SQRT(I39^2+J39^2)*1000/(SQRT(3)*I18),2)</f>
        <v>97.32</v>
      </c>
      <c r="I39" s="594">
        <v>1.6496</v>
      </c>
      <c r="J39" s="595">
        <v>0.42080000000000001</v>
      </c>
      <c r="K39" s="575">
        <f>ROUND(SQRT(L39^2+M39^2)*1000/(SQRT(3)*L18),2)</f>
        <v>93.78</v>
      </c>
      <c r="L39" s="594">
        <v>1.5855999999999999</v>
      </c>
      <c r="M39" s="595">
        <v>0.42079999999999995</v>
      </c>
      <c r="N39" s="575">
        <f>ROUND(SQRT(O39^2+P39^2)*1000/(SQRT(3)*O18),2)</f>
        <v>91.23</v>
      </c>
      <c r="O39" s="594">
        <v>1.5408000000000002</v>
      </c>
      <c r="P39" s="595">
        <v>0.41599999999999998</v>
      </c>
      <c r="Q39" s="575">
        <f>ROUND(SQRT(R39^2+S39^2)*1000/(SQRT(3)*R18),2)</f>
        <v>88.85</v>
      </c>
      <c r="R39" s="594">
        <v>1.4975999999999998</v>
      </c>
      <c r="S39" s="595">
        <v>0.41599999999999998</v>
      </c>
      <c r="T39" s="575">
        <f>ROUND(SQRT(U39^2+V39^2)*1000/(SQRT(3)*U18),2)</f>
        <v>89.53</v>
      </c>
      <c r="U39" s="594">
        <v>1.5104000000000002</v>
      </c>
      <c r="V39" s="595">
        <v>0.41439999999999999</v>
      </c>
      <c r="W39" s="575">
        <f>ROUND(SQRT(X39^2+Y39^2)*1000/(SQRT(3)*X18),2)</f>
        <v>90.54</v>
      </c>
      <c r="X39" s="594">
        <v>1.5295999999999998</v>
      </c>
      <c r="Y39" s="595">
        <v>0.41120000000000001</v>
      </c>
      <c r="Z39" s="575">
        <f>ROUND(SQRT(AA39^2+AB39^2)*1000/(SQRT(3)*AA18),2)</f>
        <v>99.71</v>
      </c>
      <c r="AA39" s="594">
        <v>1.6944000000000001</v>
      </c>
      <c r="AB39" s="595">
        <v>0.41439999999999999</v>
      </c>
      <c r="AC39" s="575">
        <f>ROUND(SQRT(AD39^2+AE39^2)*1000/(SQRT(3)*AD18),2)</f>
        <v>107.68</v>
      </c>
      <c r="AD39" s="594">
        <v>1.8368</v>
      </c>
      <c r="AE39" s="595">
        <v>0.41760000000000003</v>
      </c>
      <c r="AF39" s="575">
        <f>ROUND(SQRT(AG39^2+AH39^2)*1000/(SQRT(3)*AG18),2)</f>
        <v>113.66</v>
      </c>
      <c r="AG39" s="594">
        <v>1.944</v>
      </c>
      <c r="AH39" s="595">
        <v>0.41760000000000003</v>
      </c>
      <c r="AI39" s="575">
        <f>ROUND(SQRT(AJ39^2+AK39^2)*1000/(SQRT(3)*AJ18),2)</f>
        <v>118.12</v>
      </c>
      <c r="AJ39" s="594">
        <v>2.0224000000000002</v>
      </c>
      <c r="AK39" s="595">
        <v>0.42399999999999999</v>
      </c>
      <c r="AL39" s="575">
        <f>ROUND(SQRT(AM39^2+AN39^2)*1000/(SQRT(3)*AM18),2)</f>
        <v>115.45</v>
      </c>
      <c r="AM39" s="594">
        <v>1.9775999999999998</v>
      </c>
      <c r="AN39" s="595">
        <v>0.40960000000000002</v>
      </c>
      <c r="AO39" s="575">
        <f>ROUND(SQRT(AP39^2+AQ39^2)*1000/(SQRT(3)*AP18),2)</f>
        <v>115.79</v>
      </c>
      <c r="AP39" s="594">
        <v>1.984</v>
      </c>
      <c r="AQ39" s="595">
        <v>0.40799999999999997</v>
      </c>
      <c r="AR39" s="575">
        <f>ROUND(SQRT(AS39^2+AT39^2)*1000/(SQRT(3)*AS18),2)</f>
        <v>117.47</v>
      </c>
      <c r="AS39" s="594">
        <v>2.0144000000000002</v>
      </c>
      <c r="AT39" s="595">
        <v>0.40639999999999998</v>
      </c>
      <c r="AU39" s="575">
        <f>ROUND(SQRT(AV39^2+AW39^2)*1000/(SQRT(3)*AV18),2)</f>
        <v>117.04</v>
      </c>
      <c r="AV39" s="594">
        <v>2.0064000000000002</v>
      </c>
      <c r="AW39" s="595">
        <v>0.40799999999999997</v>
      </c>
      <c r="AX39" s="575">
        <f>ROUND(SQRT(AY39^2+AZ39^2)*1000/(SQRT(3)*AY18),2)</f>
        <v>115.16</v>
      </c>
      <c r="AY39" s="594">
        <v>1.9728000000000001</v>
      </c>
      <c r="AZ39" s="595">
        <v>0.40799999999999997</v>
      </c>
      <c r="BA39" s="575">
        <f>ROUND(SQRT(BB39^2+BC39^2)*1000/(SQRT(3)*BB18),2)</f>
        <v>117.38</v>
      </c>
      <c r="BB39" s="594">
        <v>2.0128000000000004</v>
      </c>
      <c r="BC39" s="595">
        <v>0.40639999999999998</v>
      </c>
      <c r="BD39" s="575">
        <f>ROUND(SQRT(BE39^2+BF39^2)*1000/(SQRT(3)*BE18),2)</f>
        <v>121.92</v>
      </c>
      <c r="BE39" s="594">
        <v>2.0911999999999997</v>
      </c>
      <c r="BF39" s="595">
        <v>0.41919999999999996</v>
      </c>
      <c r="BG39" s="575">
        <f>ROUND(SQRT(BH39^2+BI39^2)*1000/(SQRT(3)*BH18),2)</f>
        <v>124.32</v>
      </c>
      <c r="BH39" s="594">
        <v>2.1343999999999999</v>
      </c>
      <c r="BI39" s="595">
        <v>0.41760000000000003</v>
      </c>
      <c r="BJ39" s="575">
        <f>ROUND(SQRT(BK39^2+BL39^2)*1000/(SQRT(3)*BK18),2)</f>
        <v>124.97</v>
      </c>
      <c r="BK39" s="594">
        <v>2.1471999999999998</v>
      </c>
      <c r="BL39" s="595">
        <v>0.41120000000000007</v>
      </c>
      <c r="BM39" s="575">
        <f>ROUND(SQRT(BN39^2+BO39^2)*1000/(SQRT(3)*BN18),2)</f>
        <v>122.92</v>
      </c>
      <c r="BN39" s="594">
        <v>2.1103999999999998</v>
      </c>
      <c r="BO39" s="595">
        <v>0.4128</v>
      </c>
      <c r="BP39" s="575">
        <f>ROUND(SQRT(BQ39^2+BR39^2)*1000/(SQRT(3)*BQ18),2)</f>
        <v>121.97</v>
      </c>
      <c r="BQ39" s="594">
        <v>2.0928</v>
      </c>
      <c r="BR39" s="595">
        <v>0.41599999999999998</v>
      </c>
      <c r="BS39" s="575">
        <f>ROUND(SQRT(BT39^2+BU39^2)*1000/(SQRT(3)*BT18),2)</f>
        <v>118.21</v>
      </c>
      <c r="BT39" s="594">
        <v>2.0255999999999998</v>
      </c>
      <c r="BU39" s="595">
        <v>0.41599999999999998</v>
      </c>
      <c r="BV39" s="575">
        <f>ROUND(SQRT(BW39^2+BX39^2)*1000/(SQRT(3)*BW18),2)</f>
        <v>112.44</v>
      </c>
      <c r="BW39" s="594">
        <v>1.92</v>
      </c>
      <c r="BX39" s="595">
        <v>0.42719999999999997</v>
      </c>
      <c r="BY39" s="575">
        <f>ROUND(SQRT(BZ39^2+CA39^2)*1000/(SQRT(3)*BZ18),2)</f>
        <v>103.22</v>
      </c>
      <c r="BZ39" s="594">
        <v>1.7567999999999999</v>
      </c>
      <c r="CA39" s="595">
        <v>0.41760000000000003</v>
      </c>
      <c r="CB39" s="515">
        <f t="shared" ref="CB39:CC44" si="7">SUM(BZ39,BW39,BT39,BQ39,BN39,BK39,BH39,BE39,BB39,AY39,AV39,AS39,AP39,AM39,AJ39,AG39,AD39,AA39,X39,U39,R39,O39,L39,I39)</f>
        <v>45.057599999999994</v>
      </c>
      <c r="CC39" s="515">
        <f t="shared" si="7"/>
        <v>9.9568000000000012</v>
      </c>
    </row>
    <row r="40" spans="1:81" x14ac:dyDescent="0.2">
      <c r="A40" s="2296" t="s">
        <v>235</v>
      </c>
      <c r="B40" s="2297"/>
      <c r="C40" s="2298"/>
      <c r="D40" s="948"/>
      <c r="E40" s="854"/>
      <c r="F40" s="853"/>
      <c r="G40" s="855"/>
      <c r="H40" s="575">
        <f>ROUND(SQRT(I40^2+J40^2)*1000/(SQRT(3)*I18),2)</f>
        <v>43.03</v>
      </c>
      <c r="I40" s="594">
        <v>0.73799999999999999</v>
      </c>
      <c r="J40" s="595">
        <v>0.1482</v>
      </c>
      <c r="K40" s="575">
        <f>ROUND(SQRT(L40^2+M40^2)*1000/(SQRT(3)*L18),2)</f>
        <v>41.39</v>
      </c>
      <c r="L40" s="594">
        <v>0.70920000000000005</v>
      </c>
      <c r="M40" s="595">
        <v>0.14580000000000001</v>
      </c>
      <c r="N40" s="575">
        <f>ROUND(SQRT(O40^2+P40^2)*1000/(SQRT(3)*O18),2)</f>
        <v>41.21</v>
      </c>
      <c r="O40" s="594">
        <v>0.70559999999999989</v>
      </c>
      <c r="P40" s="595">
        <v>0.14759999999999998</v>
      </c>
      <c r="Q40" s="575">
        <f>ROUND(SQRT(R40^2+S40^2)*1000/(SQRT(3)*R18),2)</f>
        <v>40.729999999999997</v>
      </c>
      <c r="R40" s="594">
        <v>0.69720000000000004</v>
      </c>
      <c r="S40" s="595">
        <v>0.14699999999999999</v>
      </c>
      <c r="T40" s="575">
        <f>ROUND(SQRT(U40^2+V40^2)*1000/(SQRT(3)*U18),2)</f>
        <v>41.26</v>
      </c>
      <c r="U40" s="594">
        <v>0.70620000000000005</v>
      </c>
      <c r="V40" s="595">
        <v>0.14880000000000002</v>
      </c>
      <c r="W40" s="575">
        <f>ROUND(SQRT(X40^2+Y40^2)*1000/(SQRT(3)*X18),2)</f>
        <v>42.51</v>
      </c>
      <c r="X40" s="594">
        <v>0.72839999999999994</v>
      </c>
      <c r="Y40" s="595">
        <v>0.15</v>
      </c>
      <c r="Z40" s="575">
        <f>ROUND(SQRT(AA40^2+AB40^2)*1000/(SQRT(3)*AA18),2)</f>
        <v>45.78</v>
      </c>
      <c r="AA40" s="594">
        <v>0.78300000000000003</v>
      </c>
      <c r="AB40" s="595">
        <v>0.16800000000000001</v>
      </c>
      <c r="AC40" s="575">
        <f>ROUND(SQRT(AD40^2+AE40^2)*1000/(SQRT(3)*AD18),2)</f>
        <v>48.04</v>
      </c>
      <c r="AD40" s="594">
        <v>0.82379999999999998</v>
      </c>
      <c r="AE40" s="595">
        <v>0.16619999999999999</v>
      </c>
      <c r="AF40" s="575">
        <f>ROUND(SQRT(AG40^2+AH40^2)*1000/(SQRT(3)*AG18),2)</f>
        <v>48.68</v>
      </c>
      <c r="AG40" s="594">
        <v>0.83699999999999997</v>
      </c>
      <c r="AH40" s="595">
        <v>0.15719999999999998</v>
      </c>
      <c r="AI40" s="575">
        <f>ROUND(SQRT(AJ40^2+AK40^2)*1000/(SQRT(3)*AJ18),2)</f>
        <v>49.14</v>
      </c>
      <c r="AJ40" s="594">
        <v>0.84420000000000006</v>
      </c>
      <c r="AK40" s="595">
        <v>0.16200000000000001</v>
      </c>
      <c r="AL40" s="575">
        <f>ROUND(SQRT(AM40^2+AN40^2)*1000/(SQRT(3)*AM18),2)</f>
        <v>48.99</v>
      </c>
      <c r="AM40" s="594">
        <v>0.83820000000000006</v>
      </c>
      <c r="AN40" s="595">
        <v>0.17880000000000001</v>
      </c>
      <c r="AO40" s="575">
        <f>ROUND(SQRT(AP40^2+AQ40^2)*1000/(SQRT(3)*AP18),2)</f>
        <v>48.66</v>
      </c>
      <c r="AP40" s="594">
        <v>0.83099999999999996</v>
      </c>
      <c r="AQ40" s="595">
        <v>0.18480000000000002</v>
      </c>
      <c r="AR40" s="575">
        <f>ROUND(SQRT(AS40^2+AT40^2)*1000/(SQRT(3)*AS18),2)</f>
        <v>48.49</v>
      </c>
      <c r="AS40" s="594">
        <v>0.82979999999999998</v>
      </c>
      <c r="AT40" s="595">
        <v>0.17580000000000001</v>
      </c>
      <c r="AU40" s="575">
        <f>ROUND(SQRT(AV40^2+AW40^2)*1000/(SQRT(3)*AV18),2)</f>
        <v>49.46</v>
      </c>
      <c r="AV40" s="594">
        <v>0.8448</v>
      </c>
      <c r="AW40" s="595">
        <v>0.18659999999999999</v>
      </c>
      <c r="AX40" s="575">
        <f>ROUND(SQRT(AY40^2+AZ40^2)*1000/(SQRT(3)*AY18),2)</f>
        <v>49.72</v>
      </c>
      <c r="AY40" s="594">
        <v>0.84839999999999993</v>
      </c>
      <c r="AZ40" s="595">
        <v>0.192</v>
      </c>
      <c r="BA40" s="575">
        <f>ROUND(SQRT(BB40^2+BC40^2)*1000/(SQRT(3)*BB18),2)</f>
        <v>50.08</v>
      </c>
      <c r="BB40" s="594">
        <v>0.85499999999999998</v>
      </c>
      <c r="BC40" s="595">
        <v>0.19140000000000001</v>
      </c>
      <c r="BD40" s="575">
        <f>ROUND(SQRT(BE40^2+BF40^2)*1000/(SQRT(3)*BE18),2)</f>
        <v>51</v>
      </c>
      <c r="BE40" s="594">
        <v>0.87359999999999993</v>
      </c>
      <c r="BF40" s="595">
        <v>0.1812</v>
      </c>
      <c r="BG40" s="575">
        <f>ROUND(SQRT(BH40^2+BI40^2)*1000/(SQRT(3)*BH18),2)</f>
        <v>50.79</v>
      </c>
      <c r="BH40" s="594">
        <v>0.87060000000000004</v>
      </c>
      <c r="BI40" s="595">
        <v>0.17760000000000004</v>
      </c>
      <c r="BJ40" s="575">
        <f>ROUND(SQRT(BK40^2+BL40^2)*1000/(SQRT(3)*BK18),2)</f>
        <v>50.56</v>
      </c>
      <c r="BK40" s="594">
        <v>0.87</v>
      </c>
      <c r="BL40" s="595">
        <v>0.159</v>
      </c>
      <c r="BM40" s="575">
        <f>ROUND(SQRT(BN40^2+BO40^2)*1000/(SQRT(3)*BN18),2)</f>
        <v>50.76</v>
      </c>
      <c r="BN40" s="594">
        <v>0.87360000000000004</v>
      </c>
      <c r="BO40" s="595">
        <v>0.159</v>
      </c>
      <c r="BP40" s="575">
        <f>ROUND(SQRT(BQ40^2+BR40^2)*1000/(SQRT(3)*BQ18),2)</f>
        <v>49.88</v>
      </c>
      <c r="BQ40" s="594">
        <v>0.85799999999999998</v>
      </c>
      <c r="BR40" s="595">
        <v>0.159</v>
      </c>
      <c r="BS40" s="575">
        <f>ROUND(SQRT(BT40^2+BU40^2)*1000/(SQRT(3)*BT18),2)</f>
        <v>49.58</v>
      </c>
      <c r="BT40" s="594">
        <v>0.84899999999999998</v>
      </c>
      <c r="BU40" s="595">
        <v>0.17699999999999999</v>
      </c>
      <c r="BV40" s="575">
        <f>ROUND(SQRT(BW40^2+BX40^2)*1000/(SQRT(3)*BW18),2)</f>
        <v>47.14</v>
      </c>
      <c r="BW40" s="594">
        <v>0.80640000000000001</v>
      </c>
      <c r="BX40" s="595">
        <v>0.17219999999999999</v>
      </c>
      <c r="BY40" s="575">
        <f>ROUND(SQRT(BZ40^2+CA40^2)*1000/(SQRT(3)*BZ18),2)</f>
        <v>44.63</v>
      </c>
      <c r="BZ40" s="594">
        <v>0.76200000000000001</v>
      </c>
      <c r="CA40" s="595">
        <v>0.1704</v>
      </c>
      <c r="CB40" s="515">
        <f t="shared" si="7"/>
        <v>19.382999999999999</v>
      </c>
      <c r="CC40" s="515">
        <f t="shared" si="7"/>
        <v>4.0056000000000003</v>
      </c>
    </row>
    <row r="41" spans="1:81" x14ac:dyDescent="0.2">
      <c r="A41" s="2296" t="s">
        <v>236</v>
      </c>
      <c r="B41" s="2297"/>
      <c r="C41" s="2298"/>
      <c r="D41" s="949"/>
      <c r="E41" s="950"/>
      <c r="F41" s="951"/>
      <c r="G41" s="958"/>
      <c r="H41" s="575">
        <f>ROUND(SQRT(I41^2+J41^2)*1000/(SQRT(3)*I18),2)</f>
        <v>6.43</v>
      </c>
      <c r="I41" s="594">
        <v>0.11120000000000001</v>
      </c>
      <c r="J41" s="595">
        <v>1.66E-2</v>
      </c>
      <c r="K41" s="575">
        <f>ROUND(SQRT(L41^2+M41^2)*1000/(SQRT(3)*L18),2)</f>
        <v>6.25</v>
      </c>
      <c r="L41" s="594">
        <v>0.10840000000000001</v>
      </c>
      <c r="M41" s="595">
        <v>1.4600000000000002E-2</v>
      </c>
      <c r="N41" s="575">
        <f>ROUND(SQRT(O41^2+P41^2)*1000/(SQRT(3)*O18),2)</f>
        <v>6.28</v>
      </c>
      <c r="O41" s="594">
        <v>0.109</v>
      </c>
      <c r="P41" s="595">
        <v>1.4199999999999999E-2</v>
      </c>
      <c r="Q41" s="575">
        <f>ROUND(SQRT(R41^2+S41^2)*1000/(SQRT(3)*R18),2)</f>
        <v>6.3</v>
      </c>
      <c r="R41" s="594">
        <v>0.10920000000000001</v>
      </c>
      <c r="S41" s="595">
        <v>1.4800000000000001E-2</v>
      </c>
      <c r="T41" s="575">
        <f>ROUND(SQRT(U41^2+V41^2)*1000/(SQRT(3)*U18),2)</f>
        <v>5.99</v>
      </c>
      <c r="U41" s="594">
        <v>0.10380000000000002</v>
      </c>
      <c r="V41" s="595">
        <v>1.4600000000000002E-2</v>
      </c>
      <c r="W41" s="575">
        <f>ROUND(SQRT(X41^2+Y41^2)*1000/(SQRT(3)*X18),2)</f>
        <v>5.74</v>
      </c>
      <c r="X41" s="594">
        <v>9.9400000000000002E-2</v>
      </c>
      <c r="Y41" s="595">
        <v>1.44E-2</v>
      </c>
      <c r="Z41" s="575">
        <f>ROUND(SQRT(AA41^2+AB41^2)*1000/(SQRT(3)*AA18),2)</f>
        <v>5.63</v>
      </c>
      <c r="AA41" s="594">
        <v>9.74E-2</v>
      </c>
      <c r="AB41" s="595">
        <v>1.4199999999999999E-2</v>
      </c>
      <c r="AC41" s="575">
        <f>ROUND(SQRT(AD41^2+AE41^2)*1000/(SQRT(3)*AD18),2)</f>
        <v>5.23</v>
      </c>
      <c r="AD41" s="594">
        <v>9.0400000000000008E-2</v>
      </c>
      <c r="AE41" s="595">
        <v>1.44E-2</v>
      </c>
      <c r="AF41" s="575">
        <f>ROUND(SQRT(AG41^2+AH41^2)*1000/(SQRT(3)*AG18),2)</f>
        <v>5.63</v>
      </c>
      <c r="AG41" s="594">
        <v>9.74E-2</v>
      </c>
      <c r="AH41" s="595">
        <v>1.44E-2</v>
      </c>
      <c r="AI41" s="575">
        <f>ROUND(SQRT(AJ41^2+AK41^2)*1000/(SQRT(3)*AJ18),2)</f>
        <v>5.0199999999999996</v>
      </c>
      <c r="AJ41" s="594">
        <v>8.6800000000000016E-2</v>
      </c>
      <c r="AK41" s="595">
        <v>1.2999999999999999E-2</v>
      </c>
      <c r="AL41" s="575">
        <f>ROUND(SQRT(AM41^2+AN41^2)*1000/(SQRT(3)*AM18),2)</f>
        <v>4.87</v>
      </c>
      <c r="AM41" s="594">
        <v>8.4199999999999997E-2</v>
      </c>
      <c r="AN41" s="595">
        <v>1.2999999999999999E-2</v>
      </c>
      <c r="AO41" s="575">
        <f>ROUND(SQRT(AP41^2+AQ41^2)*1000/(SQRT(3)*AP18),2)</f>
        <v>4.99</v>
      </c>
      <c r="AP41" s="594">
        <v>8.6199999999999985E-2</v>
      </c>
      <c r="AQ41" s="595">
        <v>1.3800000000000002E-2</v>
      </c>
      <c r="AR41" s="575">
        <f>ROUND(SQRT(AS41^2+AT41^2)*1000/(SQRT(3)*AS18),2)</f>
        <v>4.4800000000000004</v>
      </c>
      <c r="AS41" s="594">
        <v>7.7199999999999991E-2</v>
      </c>
      <c r="AT41" s="595">
        <v>1.2999999999999999E-2</v>
      </c>
      <c r="AU41" s="575">
        <f>ROUND(SQRT(AV41^2+AW41^2)*1000/(SQRT(3)*AV18),2)</f>
        <v>4.6900000000000004</v>
      </c>
      <c r="AV41" s="594">
        <v>8.1000000000000003E-2</v>
      </c>
      <c r="AW41" s="595">
        <v>1.2999999999999999E-2</v>
      </c>
      <c r="AX41" s="575">
        <f>ROUND(SQRT(AY41^2+AZ41^2)*1000/(SQRT(3)*AY18),2)</f>
        <v>4.79</v>
      </c>
      <c r="AY41" s="594">
        <v>8.2799999999999999E-2</v>
      </c>
      <c r="AZ41" s="595">
        <v>1.2800000000000001E-2</v>
      </c>
      <c r="BA41" s="575">
        <f>ROUND(SQRT(BB41^2+BC41^2)*1000/(SQRT(3)*BB18),2)</f>
        <v>4.92</v>
      </c>
      <c r="BB41" s="594">
        <v>8.5000000000000006E-2</v>
      </c>
      <c r="BC41" s="595">
        <v>1.32E-2</v>
      </c>
      <c r="BD41" s="575">
        <f>ROUND(SQRT(BE41^2+BF41^2)*1000/(SQRT(3)*BE18),2)</f>
        <v>4.9400000000000004</v>
      </c>
      <c r="BE41" s="594">
        <v>8.5400000000000004E-2</v>
      </c>
      <c r="BF41" s="595">
        <v>1.34E-2</v>
      </c>
      <c r="BG41" s="575">
        <f>ROUND(SQRT(BH41^2+BI41^2)*1000/(SQRT(3)*BH18),2)</f>
        <v>5.31</v>
      </c>
      <c r="BH41" s="594">
        <v>9.1999999999999998E-2</v>
      </c>
      <c r="BI41" s="595">
        <v>1.34E-2</v>
      </c>
      <c r="BJ41" s="575">
        <f>ROUND(SQRT(BK41^2+BL41^2)*1000/(SQRT(3)*BK18),2)</f>
        <v>5.57</v>
      </c>
      <c r="BK41" s="594">
        <v>9.6599999999999991E-2</v>
      </c>
      <c r="BL41" s="595">
        <v>1.2999999999999999E-2</v>
      </c>
      <c r="BM41" s="575">
        <f>ROUND(SQRT(BN41^2+BO41^2)*1000/(SQRT(3)*BN18),2)</f>
        <v>5.48</v>
      </c>
      <c r="BN41" s="594">
        <v>9.4800000000000009E-2</v>
      </c>
      <c r="BO41" s="595">
        <v>1.44E-2</v>
      </c>
      <c r="BP41" s="575">
        <f>ROUND(SQRT(BQ41^2+BR41^2)*1000/(SQRT(3)*BQ18),2)</f>
        <v>5.52</v>
      </c>
      <c r="BQ41" s="594">
        <v>9.5599999999999991E-2</v>
      </c>
      <c r="BR41" s="595">
        <v>1.3599999999999999E-2</v>
      </c>
      <c r="BS41" s="575">
        <f>ROUND(SQRT(BT41^2+BU41^2)*1000/(SQRT(3)*BT18),2)</f>
        <v>5.46</v>
      </c>
      <c r="BT41" s="594">
        <v>9.4400000000000012E-2</v>
      </c>
      <c r="BU41" s="595">
        <v>1.4E-2</v>
      </c>
      <c r="BV41" s="575">
        <f>ROUND(SQRT(BW41^2+BX41^2)*1000/(SQRT(3)*BW18),2)</f>
        <v>5.84</v>
      </c>
      <c r="BW41" s="594">
        <v>0.10100000000000001</v>
      </c>
      <c r="BX41" s="595">
        <v>1.52E-2</v>
      </c>
      <c r="BY41" s="575">
        <f>ROUND(SQRT(BZ41^2+CA41^2)*1000/(SQRT(3)*BZ18),2)</f>
        <v>5.88</v>
      </c>
      <c r="BZ41" s="594">
        <v>0.1018</v>
      </c>
      <c r="CA41" s="595">
        <v>1.44E-2</v>
      </c>
      <c r="CB41" s="515">
        <f t="shared" si="7"/>
        <v>2.2710000000000004</v>
      </c>
      <c r="CC41" s="515">
        <f t="shared" si="7"/>
        <v>0.33540000000000003</v>
      </c>
    </row>
    <row r="42" spans="1:81" x14ac:dyDescent="0.2">
      <c r="A42" s="2296" t="s">
        <v>237</v>
      </c>
      <c r="B42" s="2297"/>
      <c r="C42" s="2298"/>
      <c r="D42" s="948"/>
      <c r="E42" s="854"/>
      <c r="F42" s="853"/>
      <c r="G42" s="960"/>
      <c r="H42" s="575">
        <f>ROUND(SQRT(I42^2+J42^2)*1000/(SQRT(3)*I18),2)</f>
        <v>6.39</v>
      </c>
      <c r="I42" s="594">
        <v>0.10380000000000002</v>
      </c>
      <c r="J42" s="595">
        <v>4.1399999999999999E-2</v>
      </c>
      <c r="K42" s="575">
        <f>ROUND(SQRT(L42^2+M42^2)*1000/(SQRT(3)*L18),2)</f>
        <v>6.22</v>
      </c>
      <c r="L42" s="594">
        <v>0.1008</v>
      </c>
      <c r="M42" s="595">
        <v>4.0799999999999996E-2</v>
      </c>
      <c r="N42" s="575">
        <f>ROUND(SQRT(O42^2+P42^2)*1000/(SQRT(3)*O18),2)</f>
        <v>6.2</v>
      </c>
      <c r="O42" s="594">
        <v>0.10019999999999998</v>
      </c>
      <c r="P42" s="595">
        <v>4.1399999999999999E-2</v>
      </c>
      <c r="Q42" s="575">
        <f>ROUND(SQRT(R42^2+S42^2)*1000/(SQRT(3)*R18),2)</f>
        <v>6.18</v>
      </c>
      <c r="R42" s="594">
        <v>0.10019999999999998</v>
      </c>
      <c r="S42" s="595">
        <v>4.0799999999999996E-2</v>
      </c>
      <c r="T42" s="575">
        <f>ROUND(SQRT(U42^2+V42^2)*1000/(SQRT(3)*U18),2)</f>
        <v>6.18</v>
      </c>
      <c r="U42" s="594">
        <v>0.10019999999999998</v>
      </c>
      <c r="V42" s="595">
        <v>4.0799999999999996E-2</v>
      </c>
      <c r="W42" s="575">
        <f>ROUND(SQRT(X42^2+Y42^2)*1000/(SQRT(3)*X18),2)</f>
        <v>6.23</v>
      </c>
      <c r="X42" s="594">
        <v>0.1008</v>
      </c>
      <c r="Y42" s="595">
        <v>4.1399999999999999E-2</v>
      </c>
      <c r="Z42" s="575">
        <f>ROUND(SQRT(AA42^2+AB42^2)*1000/(SQRT(3)*AA18),2)</f>
        <v>6.28</v>
      </c>
      <c r="AA42" s="594">
        <v>0.10199999999999999</v>
      </c>
      <c r="AB42" s="595">
        <v>4.0799999999999996E-2</v>
      </c>
      <c r="AC42" s="575">
        <f>ROUND(SQRT(AD42^2+AE42^2)*1000/(SQRT(3)*AD18),2)</f>
        <v>7.8</v>
      </c>
      <c r="AD42" s="594">
        <v>0.129</v>
      </c>
      <c r="AE42" s="595">
        <v>4.4400000000000002E-2</v>
      </c>
      <c r="AF42" s="575">
        <f>ROUND(SQRT(AG42^2+AH42^2)*1000/(SQRT(3)*AG18),2)</f>
        <v>8.73</v>
      </c>
      <c r="AG42" s="594">
        <v>0.1452</v>
      </c>
      <c r="AH42" s="595">
        <v>4.7400000000000005E-2</v>
      </c>
      <c r="AI42" s="575">
        <f>ROUND(SQRT(AJ42^2+AK42^2)*1000/(SQRT(3)*AJ18),2)</f>
        <v>9.42</v>
      </c>
      <c r="AJ42" s="594">
        <v>0.15719999999999998</v>
      </c>
      <c r="AK42" s="595">
        <v>4.9200000000000001E-2</v>
      </c>
      <c r="AL42" s="575">
        <f>ROUND(SQRT(AM42^2+AN42^2)*1000/(SQRT(3)*AM18),2)</f>
        <v>8.5500000000000007</v>
      </c>
      <c r="AM42" s="594">
        <v>0.14280000000000001</v>
      </c>
      <c r="AN42" s="595">
        <v>4.4400000000000002E-2</v>
      </c>
      <c r="AO42" s="575">
        <f>ROUND(SQRT(AP42^2+AQ42^2)*1000/(SQRT(3)*AP18),2)</f>
        <v>8.0299999999999994</v>
      </c>
      <c r="AP42" s="594">
        <v>0.1338</v>
      </c>
      <c r="AQ42" s="595">
        <v>4.2599999999999999E-2</v>
      </c>
      <c r="AR42" s="575">
        <f>ROUND(SQRT(AS42^2+AT42^2)*1000/(SQRT(3)*AS18),2)</f>
        <v>7.87</v>
      </c>
      <c r="AS42" s="594">
        <v>0.13140000000000002</v>
      </c>
      <c r="AT42" s="595">
        <v>4.0799999999999996E-2</v>
      </c>
      <c r="AU42" s="575">
        <f>ROUND(SQRT(AV42^2+AW42^2)*1000/(SQRT(3)*AV18),2)</f>
        <v>6.75</v>
      </c>
      <c r="AV42" s="594">
        <v>0.111</v>
      </c>
      <c r="AW42" s="595">
        <v>4.02E-2</v>
      </c>
      <c r="AX42" s="575">
        <f>ROUND(SQRT(AY42^2+AZ42^2)*1000/(SQRT(3)*AY18),2)</f>
        <v>6.88</v>
      </c>
      <c r="AY42" s="594">
        <v>0.1134</v>
      </c>
      <c r="AZ42" s="595">
        <v>4.02E-2</v>
      </c>
      <c r="BA42" s="575">
        <f>ROUND(SQRT(BB42^2+BC42^2)*1000/(SQRT(3)*BB18),2)</f>
        <v>6.73</v>
      </c>
      <c r="BB42" s="594">
        <v>0.11040000000000001</v>
      </c>
      <c r="BC42" s="595">
        <v>4.0799999999999996E-2</v>
      </c>
      <c r="BD42" s="575">
        <f>ROUND(SQRT(BE42^2+BF42^2)*1000/(SQRT(3)*BE18),2)</f>
        <v>6.48</v>
      </c>
      <c r="BE42" s="594">
        <v>0.1056</v>
      </c>
      <c r="BF42" s="595">
        <v>4.1399999999999999E-2</v>
      </c>
      <c r="BG42" s="575">
        <f>ROUND(SQRT(BH42^2+BI42^2)*1000/(SQRT(3)*BH18),2)</f>
        <v>6.25</v>
      </c>
      <c r="BH42" s="594">
        <v>0.10199999999999999</v>
      </c>
      <c r="BI42" s="595">
        <v>3.9599999999999996E-2</v>
      </c>
      <c r="BJ42" s="575">
        <f>ROUND(SQRT(BK42^2+BL42^2)*1000/(SQRT(3)*BK18),2)</f>
        <v>6.3</v>
      </c>
      <c r="BK42" s="594">
        <v>0.1026</v>
      </c>
      <c r="BL42" s="595">
        <v>4.02E-2</v>
      </c>
      <c r="BM42" s="575">
        <f>ROUND(SQRT(BN42^2+BO42^2)*1000/(SQRT(3)*BN18),2)</f>
        <v>6.14</v>
      </c>
      <c r="BN42" s="594">
        <v>9.9599999999999994E-2</v>
      </c>
      <c r="BO42" s="595">
        <v>4.02E-2</v>
      </c>
      <c r="BP42" s="575">
        <f>ROUND(SQRT(BQ42^2+BR42^2)*1000/(SQRT(3)*BQ18),2)</f>
        <v>6.15</v>
      </c>
      <c r="BQ42" s="594">
        <v>9.9599999999999994E-2</v>
      </c>
      <c r="BR42" s="595">
        <v>4.0799999999999996E-2</v>
      </c>
      <c r="BS42" s="575">
        <f>ROUND(SQRT(BT42^2+BU42^2)*1000/(SQRT(3)*BT18),2)</f>
        <v>6.14</v>
      </c>
      <c r="BT42" s="594">
        <v>9.9599999999999994E-2</v>
      </c>
      <c r="BU42" s="595">
        <v>4.02E-2</v>
      </c>
      <c r="BV42" s="575">
        <f>ROUND(SQRT(BW42^2+BX42^2)*1000/(SQRT(3)*BW18),2)</f>
        <v>6.09</v>
      </c>
      <c r="BW42" s="594">
        <v>9.8400000000000001E-2</v>
      </c>
      <c r="BX42" s="595">
        <v>4.0799999999999996E-2</v>
      </c>
      <c r="BY42" s="575">
        <f>ROUND(SQRT(BZ42^2+CA42^2)*1000/(SQRT(3)*BZ18),2)</f>
        <v>6.1</v>
      </c>
      <c r="BZ42" s="594">
        <v>9.8400000000000001E-2</v>
      </c>
      <c r="CA42" s="595">
        <v>4.1399999999999999E-2</v>
      </c>
      <c r="CB42" s="515">
        <f t="shared" si="7"/>
        <v>2.6880000000000002</v>
      </c>
      <c r="CC42" s="515">
        <f t="shared" si="7"/>
        <v>1.0019999999999998</v>
      </c>
    </row>
    <row r="43" spans="1:81" x14ac:dyDescent="0.2">
      <c r="A43" s="2296" t="s">
        <v>238</v>
      </c>
      <c r="B43" s="2297"/>
      <c r="C43" s="2298"/>
      <c r="D43" s="948"/>
      <c r="E43" s="854"/>
      <c r="F43" s="853"/>
      <c r="G43" s="960"/>
      <c r="H43" s="575">
        <f>ROUND(SQRT(I43^2+J43^2)*1000/(SQRT(3)*I18),2)</f>
        <v>0</v>
      </c>
      <c r="I43" s="961">
        <v>0</v>
      </c>
      <c r="J43" s="595">
        <v>0</v>
      </c>
      <c r="K43" s="575">
        <f>ROUND(SQRT(L43^2+M43^2)*1000/(SQRT(3)*L18),2)</f>
        <v>0</v>
      </c>
      <c r="L43" s="594">
        <v>0</v>
      </c>
      <c r="M43" s="595">
        <v>0</v>
      </c>
      <c r="N43" s="575">
        <f>ROUND(SQRT(O43^2+P43^2)*1000/(SQRT(3)*O18),2)</f>
        <v>0</v>
      </c>
      <c r="O43" s="594">
        <v>0</v>
      </c>
      <c r="P43" s="595">
        <v>0</v>
      </c>
      <c r="Q43" s="575">
        <f>ROUND(SQRT(R43^2+S43^2)*1000/(SQRT(3)*R18),2)</f>
        <v>0</v>
      </c>
      <c r="R43" s="594">
        <v>0</v>
      </c>
      <c r="S43" s="595">
        <v>0</v>
      </c>
      <c r="T43" s="575">
        <f>ROUND(SQRT(U43^2+V43^2)*1000/(SQRT(3)*U18),2)</f>
        <v>0</v>
      </c>
      <c r="U43" s="594">
        <v>0</v>
      </c>
      <c r="V43" s="595">
        <v>0</v>
      </c>
      <c r="W43" s="575">
        <f>ROUND(SQRT(X43^2+Y43^2)*1000/(SQRT(3)*X18),2)</f>
        <v>0</v>
      </c>
      <c r="X43" s="594">
        <v>0</v>
      </c>
      <c r="Y43" s="595">
        <v>0</v>
      </c>
      <c r="Z43" s="575">
        <f>ROUND(SQRT(AA43^2+AB43^2)*1000/(SQRT(3)*AA18),2)</f>
        <v>0</v>
      </c>
      <c r="AA43" s="594">
        <v>0</v>
      </c>
      <c r="AB43" s="595">
        <v>0</v>
      </c>
      <c r="AC43" s="575">
        <f>ROUND(SQRT(AD43^2+AE43^2)*1000/(SQRT(3)*AD18),2)</f>
        <v>0</v>
      </c>
      <c r="AD43" s="594">
        <v>0</v>
      </c>
      <c r="AE43" s="595">
        <v>0</v>
      </c>
      <c r="AF43" s="575">
        <f>ROUND(SQRT(AG43^2+AH43^2)*1000/(SQRT(3)*AG18),2)</f>
        <v>0</v>
      </c>
      <c r="AG43" s="594">
        <v>0</v>
      </c>
      <c r="AH43" s="595">
        <v>0</v>
      </c>
      <c r="AI43" s="575">
        <f>ROUND(SQRT(AJ43^2+AK43^2)*1000/(SQRT(3)*AJ18),2)</f>
        <v>0</v>
      </c>
      <c r="AJ43" s="594">
        <v>0</v>
      </c>
      <c r="AK43" s="595">
        <v>0</v>
      </c>
      <c r="AL43" s="575">
        <f>ROUND(SQRT(AM43^2+AN43^2)*1000/(SQRT(3)*AM18),2)</f>
        <v>0</v>
      </c>
      <c r="AM43" s="594">
        <v>0</v>
      </c>
      <c r="AN43" s="595">
        <v>0</v>
      </c>
      <c r="AO43" s="575">
        <f>ROUND(SQRT(AP43^2+AQ43^2)*1000/(SQRT(3)*AP18),2)</f>
        <v>0</v>
      </c>
      <c r="AP43" s="594">
        <v>0</v>
      </c>
      <c r="AQ43" s="595">
        <v>0</v>
      </c>
      <c r="AR43" s="575">
        <f>ROUND(SQRT(AS43^2+AT43^2)*1000/(SQRT(3)*AS18),2)</f>
        <v>0</v>
      </c>
      <c r="AS43" s="594">
        <v>0</v>
      </c>
      <c r="AT43" s="595">
        <v>0</v>
      </c>
      <c r="AU43" s="575">
        <f>ROUND(SQRT(AV43^2+AW43^2)*1000/(SQRT(3)*AV18),2)</f>
        <v>0</v>
      </c>
      <c r="AV43" s="594">
        <v>0</v>
      </c>
      <c r="AW43" s="595">
        <v>0</v>
      </c>
      <c r="AX43" s="575">
        <f>ROUND(SQRT(AY43^2+AZ43^2)*1000/(SQRT(3)*AY18),2)</f>
        <v>0</v>
      </c>
      <c r="AY43" s="594">
        <v>0</v>
      </c>
      <c r="AZ43" s="595">
        <v>0</v>
      </c>
      <c r="BA43" s="575">
        <f>ROUND(SQRT(BB43^2+BC43^2)*1000/(SQRT(3)*BB18),2)</f>
        <v>0</v>
      </c>
      <c r="BB43" s="594">
        <v>0</v>
      </c>
      <c r="BC43" s="595">
        <v>0</v>
      </c>
      <c r="BD43" s="575">
        <f>ROUND(SQRT(BE43^2+BF43^2)*1000/(SQRT(3)*BE18),2)</f>
        <v>0</v>
      </c>
      <c r="BE43" s="594">
        <v>0</v>
      </c>
      <c r="BF43" s="595">
        <v>0</v>
      </c>
      <c r="BG43" s="575">
        <f>ROUND(SQRT(BH43^2+BI43^2)*1000/(SQRT(3)*BH18),2)</f>
        <v>0</v>
      </c>
      <c r="BH43" s="594">
        <v>0</v>
      </c>
      <c r="BI43" s="595">
        <v>0</v>
      </c>
      <c r="BJ43" s="575">
        <f>ROUND(SQRT(BK43^2+BL43^2)*1000/(SQRT(3)*BK18),2)</f>
        <v>0</v>
      </c>
      <c r="BK43" s="594">
        <v>0</v>
      </c>
      <c r="BL43" s="595">
        <v>0</v>
      </c>
      <c r="BM43" s="575">
        <f>ROUND(SQRT(BN43^2+BO43^2)*1000/(SQRT(3)*BN18),2)</f>
        <v>0</v>
      </c>
      <c r="BN43" s="594">
        <v>0</v>
      </c>
      <c r="BO43" s="595">
        <v>0</v>
      </c>
      <c r="BP43" s="575">
        <f>ROUND(SQRT(BQ43^2+BR43^2)*1000/(SQRT(3)*BQ18),2)</f>
        <v>0</v>
      </c>
      <c r="BQ43" s="594">
        <v>0</v>
      </c>
      <c r="BR43" s="595">
        <v>0</v>
      </c>
      <c r="BS43" s="575">
        <f>ROUND(SQRT(BT43^2+BU43^2)*1000/(SQRT(3)*BT18),2)</f>
        <v>0</v>
      </c>
      <c r="BT43" s="594">
        <v>0</v>
      </c>
      <c r="BU43" s="595">
        <v>0</v>
      </c>
      <c r="BV43" s="575">
        <f>ROUND(SQRT(BW43^2+BX43^2)*1000/(SQRT(3)*BW18),2)</f>
        <v>0</v>
      </c>
      <c r="BW43" s="594">
        <v>0</v>
      </c>
      <c r="BX43" s="595">
        <v>0</v>
      </c>
      <c r="BY43" s="575">
        <f>ROUND(SQRT(BZ43^2+CA43^2)*1000/(SQRT(3)*BZ18),2)</f>
        <v>0</v>
      </c>
      <c r="BZ43" s="594">
        <v>0</v>
      </c>
      <c r="CA43" s="595">
        <v>0</v>
      </c>
      <c r="CB43" s="515">
        <f t="shared" si="7"/>
        <v>0</v>
      </c>
      <c r="CC43" s="515">
        <f t="shared" si="7"/>
        <v>0</v>
      </c>
    </row>
    <row r="44" spans="1:81" ht="13.5" thickBot="1" x14ac:dyDescent="0.25">
      <c r="A44" s="2270" t="s">
        <v>239</v>
      </c>
      <c r="B44" s="2302"/>
      <c r="C44" s="2271"/>
      <c r="D44" s="954"/>
      <c r="E44" s="955"/>
      <c r="F44" s="956"/>
      <c r="G44" s="957"/>
      <c r="H44" s="575">
        <f>ROUND(SQRT(I44^2+J44^2)*1000/(SQRT(3)*I18),2)</f>
        <v>17.329999999999998</v>
      </c>
      <c r="I44" s="594">
        <v>0.29799999999999999</v>
      </c>
      <c r="J44" s="595">
        <v>5.6000000000000001E-2</v>
      </c>
      <c r="K44" s="575">
        <f>ROUND(SQRT(L44^2+M44^2)*1000/(SQRT(3)*L18),2)</f>
        <v>15.8</v>
      </c>
      <c r="L44" s="594">
        <v>0.27079999999999993</v>
      </c>
      <c r="M44" s="595">
        <v>5.5200000000000006E-2</v>
      </c>
      <c r="N44" s="575">
        <f>ROUND(SQRT(O44^2+P44^2)*1000/(SQRT(3)*O18),2)</f>
        <v>15.01</v>
      </c>
      <c r="O44" s="594">
        <v>0.25639999999999996</v>
      </c>
      <c r="P44" s="595">
        <v>5.6399999999999999E-2</v>
      </c>
      <c r="Q44" s="575">
        <f>ROUND(SQRT(R44^2+S44^2)*1000/(SQRT(3)*R18),2)</f>
        <v>14.85</v>
      </c>
      <c r="R44" s="594">
        <v>0.25359999999999999</v>
      </c>
      <c r="S44" s="595">
        <v>5.6000000000000001E-2</v>
      </c>
      <c r="T44" s="575">
        <f>ROUND(SQRT(U44^2+V44^2)*1000/(SQRT(3)*U18),2)</f>
        <v>14.48</v>
      </c>
      <c r="U44" s="594">
        <v>0.24719999999999998</v>
      </c>
      <c r="V44" s="595">
        <v>5.5600000000000004E-2</v>
      </c>
      <c r="W44" s="575">
        <f>ROUND(SQRT(X44^2+Y44^2)*1000/(SQRT(3)*X18),2)</f>
        <v>15.03</v>
      </c>
      <c r="X44" s="594">
        <v>0.25680000000000003</v>
      </c>
      <c r="Y44" s="595">
        <v>5.6799999999999996E-2</v>
      </c>
      <c r="Z44" s="575">
        <f>ROUND(SQRT(AA44^2+AB44^2)*1000/(SQRT(3)*AA18),2)</f>
        <v>17.82</v>
      </c>
      <c r="AA44" s="594">
        <v>0.30680000000000002</v>
      </c>
      <c r="AB44" s="595">
        <v>5.5200000000000006E-2</v>
      </c>
      <c r="AC44" s="575">
        <f>ROUND(SQRT(AD44^2+AE44^2)*1000/(SQRT(3)*AD18),2)</f>
        <v>20.25</v>
      </c>
      <c r="AD44" s="594">
        <v>0.35</v>
      </c>
      <c r="AE44" s="595">
        <v>5.4799999999999995E-2</v>
      </c>
      <c r="AF44" s="575">
        <f>ROUND(SQRT(AG44^2+AH44^2)*1000/(SQRT(3)*AG18),2)</f>
        <v>20.04</v>
      </c>
      <c r="AG44" s="594">
        <v>0.34599999999999997</v>
      </c>
      <c r="AH44" s="595">
        <v>5.6399999999999999E-2</v>
      </c>
      <c r="AI44" s="575">
        <f>ROUND(SQRT(AJ44^2+AK44^2)*1000/(SQRT(3)*AJ18),2)</f>
        <v>19.63</v>
      </c>
      <c r="AJ44" s="594">
        <v>0.3392</v>
      </c>
      <c r="AK44" s="595">
        <v>5.3200000000000004E-2</v>
      </c>
      <c r="AL44" s="575">
        <f>ROUND(SQRT(AM44^2+AN44^2)*1000/(SQRT(3)*AM18),2)</f>
        <v>19.829999999999998</v>
      </c>
      <c r="AM44" s="594">
        <v>0.34320000000000001</v>
      </c>
      <c r="AN44" s="595">
        <v>5.0799999999999998E-2</v>
      </c>
      <c r="AO44" s="575">
        <f>ROUND(SQRT(AP44^2+AQ44^2)*1000/(SQRT(3)*AP18),2)</f>
        <v>20.25</v>
      </c>
      <c r="AP44" s="594">
        <v>0.35039999999999999</v>
      </c>
      <c r="AQ44" s="595">
        <v>5.1999999999999998E-2</v>
      </c>
      <c r="AR44" s="575">
        <f>ROUND(SQRT(AS44^2+AT44^2)*1000/(SQRT(3)*AS18),2)</f>
        <v>20.170000000000002</v>
      </c>
      <c r="AS44" s="594">
        <v>0.3488</v>
      </c>
      <c r="AT44" s="595">
        <v>5.3599999999999995E-2</v>
      </c>
      <c r="AU44" s="575">
        <f>ROUND(SQRT(AV44^2+AW44^2)*1000/(SQRT(3)*AV18),2)</f>
        <v>19.989999999999998</v>
      </c>
      <c r="AV44" s="594">
        <v>0.34560000000000002</v>
      </c>
      <c r="AW44" s="595">
        <v>5.3200000000000004E-2</v>
      </c>
      <c r="AX44" s="575">
        <f>ROUND(SQRT(AY44^2+AZ44^2)*1000/(SQRT(3)*AY18),2)</f>
        <v>19.829999999999998</v>
      </c>
      <c r="AY44" s="594">
        <v>0.34279999999999994</v>
      </c>
      <c r="AZ44" s="595">
        <v>5.3200000000000004E-2</v>
      </c>
      <c r="BA44" s="575">
        <f>ROUND(SQRT(BB44^2+BC44^2)*1000/(SQRT(3)*BB18),2)</f>
        <v>20.67</v>
      </c>
      <c r="BB44" s="594">
        <v>0.35760000000000003</v>
      </c>
      <c r="BC44" s="595">
        <v>5.3600000000000002E-2</v>
      </c>
      <c r="BD44" s="575">
        <f>ROUND(SQRT(BE44^2+BF44^2)*1000/(SQRT(3)*BE18),2)</f>
        <v>21.7</v>
      </c>
      <c r="BE44" s="594">
        <v>0.376</v>
      </c>
      <c r="BF44" s="595">
        <v>5.1999999999999998E-2</v>
      </c>
      <c r="BG44" s="575">
        <f>ROUND(SQRT(BH44^2+BI44^2)*1000/(SQRT(3)*BH18),2)</f>
        <v>21.33</v>
      </c>
      <c r="BH44" s="594">
        <v>0.36920000000000003</v>
      </c>
      <c r="BI44" s="595">
        <v>5.3999999999999999E-2</v>
      </c>
      <c r="BJ44" s="575">
        <f>ROUND(SQRT(BK44^2+BL44^2)*1000/(SQRT(3)*BK18),2)</f>
        <v>22.16</v>
      </c>
      <c r="BK44" s="594">
        <v>0.3836</v>
      </c>
      <c r="BL44" s="595">
        <v>5.6000000000000001E-2</v>
      </c>
      <c r="BM44" s="575">
        <f>ROUND(SQRT(BN44^2+BO44^2)*1000/(SQRT(3)*BN18),2)</f>
        <v>23.05</v>
      </c>
      <c r="BN44" s="594">
        <v>0.39960000000000001</v>
      </c>
      <c r="BO44" s="595">
        <v>5.3999999999999999E-2</v>
      </c>
      <c r="BP44" s="575">
        <f>ROUND(SQRT(BQ44^2+BR44^2)*1000/(SQRT(3)*BQ18),2)</f>
        <v>23.09</v>
      </c>
      <c r="BQ44" s="594">
        <v>0.4</v>
      </c>
      <c r="BR44" s="595">
        <v>5.5600000000000004E-2</v>
      </c>
      <c r="BS44" s="575">
        <f>ROUND(SQRT(BT44^2+BU44^2)*1000/(SQRT(3)*BT18),2)</f>
        <v>22.65</v>
      </c>
      <c r="BT44" s="594">
        <v>0.39200000000000002</v>
      </c>
      <c r="BU44" s="595">
        <v>5.8000000000000003E-2</v>
      </c>
      <c r="BV44" s="575">
        <f>ROUND(SQRT(BW44^2+BX44^2)*1000/(SQRT(3)*BW18),2)</f>
        <v>21.17</v>
      </c>
      <c r="BW44" s="594">
        <v>0.36599999999999999</v>
      </c>
      <c r="BX44" s="595">
        <v>5.6000000000000001E-2</v>
      </c>
      <c r="BY44" s="575">
        <f>ROUND(SQRT(BZ44^2+CA44^2)*1000/(SQRT(3)*BZ18),2)</f>
        <v>18.670000000000002</v>
      </c>
      <c r="BZ44" s="594">
        <v>0.3216</v>
      </c>
      <c r="CA44" s="595">
        <v>5.7200000000000001E-2</v>
      </c>
      <c r="CB44" s="515">
        <f t="shared" si="7"/>
        <v>8.0212000000000003</v>
      </c>
      <c r="CC44" s="515">
        <f t="shared" si="7"/>
        <v>1.3148000000000002</v>
      </c>
    </row>
    <row r="45" spans="1:81" ht="13.5" thickBot="1" x14ac:dyDescent="0.25">
      <c r="A45" s="2306" t="s">
        <v>19</v>
      </c>
      <c r="B45" s="2307"/>
      <c r="C45" s="2307"/>
      <c r="D45" s="2307"/>
      <c r="E45" s="2307"/>
      <c r="F45" s="2307"/>
      <c r="G45" s="2308"/>
      <c r="H45" s="962"/>
      <c r="I45" s="963"/>
      <c r="J45" s="871"/>
      <c r="K45" s="962"/>
      <c r="L45" s="963"/>
      <c r="M45" s="871"/>
      <c r="N45" s="962"/>
      <c r="O45" s="963"/>
      <c r="P45" s="871"/>
      <c r="Q45" s="962"/>
      <c r="R45" s="963"/>
      <c r="S45" s="871"/>
      <c r="T45" s="962"/>
      <c r="U45" s="963"/>
      <c r="V45" s="871"/>
      <c r="W45" s="962"/>
      <c r="X45" s="963"/>
      <c r="Y45" s="871"/>
      <c r="Z45" s="962"/>
      <c r="AA45" s="963"/>
      <c r="AB45" s="871"/>
      <c r="AC45" s="962"/>
      <c r="AD45" s="963"/>
      <c r="AE45" s="871"/>
      <c r="AF45" s="962"/>
      <c r="AG45" s="963"/>
      <c r="AH45" s="871"/>
      <c r="AI45" s="962"/>
      <c r="AJ45" s="963"/>
      <c r="AK45" s="871"/>
      <c r="AL45" s="962"/>
      <c r="AM45" s="963">
        <v>0</v>
      </c>
      <c r="AN45" s="871">
        <v>0</v>
      </c>
      <c r="AO45" s="962"/>
      <c r="AP45" s="963"/>
      <c r="AQ45" s="871"/>
      <c r="AR45" s="962"/>
      <c r="AS45" s="963"/>
      <c r="AT45" s="871"/>
      <c r="AU45" s="962"/>
      <c r="AV45" s="963"/>
      <c r="AW45" s="871"/>
      <c r="AX45" s="962"/>
      <c r="AY45" s="963"/>
      <c r="AZ45" s="871"/>
      <c r="BA45" s="962"/>
      <c r="BB45" s="963"/>
      <c r="BC45" s="871"/>
      <c r="BD45" s="962"/>
      <c r="BE45" s="963"/>
      <c r="BF45" s="871"/>
      <c r="BG45" s="962"/>
      <c r="BH45" s="963"/>
      <c r="BI45" s="871"/>
      <c r="BJ45" s="962"/>
      <c r="BK45" s="963"/>
      <c r="BL45" s="871"/>
      <c r="BM45" s="962"/>
      <c r="BN45" s="963"/>
      <c r="BO45" s="871"/>
      <c r="BP45" s="962"/>
      <c r="BQ45" s="963"/>
      <c r="BR45" s="871"/>
      <c r="BS45" s="962"/>
      <c r="BT45" s="963"/>
      <c r="BU45" s="871"/>
      <c r="BV45" s="962"/>
      <c r="BW45" s="963"/>
      <c r="BX45" s="871"/>
      <c r="BY45" s="962"/>
      <c r="BZ45" s="963"/>
      <c r="CA45" s="871"/>
      <c r="CB45" s="618"/>
    </row>
    <row r="46" spans="1:81" x14ac:dyDescent="0.2">
      <c r="A46" s="879"/>
      <c r="B46" s="964" t="s">
        <v>22</v>
      </c>
      <c r="C46" s="882"/>
      <c r="D46" s="965" t="s">
        <v>202</v>
      </c>
      <c r="E46" s="882"/>
      <c r="F46" s="882"/>
      <c r="G46" s="882"/>
      <c r="H46" s="966">
        <v>2.4E-2</v>
      </c>
      <c r="I46" s="877" t="s">
        <v>2</v>
      </c>
      <c r="J46" s="967">
        <v>0.1729</v>
      </c>
      <c r="K46" s="966"/>
      <c r="L46" s="877"/>
      <c r="M46" s="967"/>
      <c r="N46" s="966"/>
      <c r="O46" s="877"/>
      <c r="P46" s="967"/>
      <c r="Q46" s="966"/>
      <c r="R46" s="877"/>
      <c r="S46" s="967"/>
      <c r="T46" s="966"/>
      <c r="U46" s="877"/>
      <c r="V46" s="967"/>
      <c r="W46" s="966"/>
      <c r="X46" s="877"/>
      <c r="Y46" s="967"/>
      <c r="Z46" s="966"/>
      <c r="AA46" s="877"/>
      <c r="AB46" s="967"/>
      <c r="AC46" s="966"/>
      <c r="AD46" s="877"/>
      <c r="AE46" s="967"/>
      <c r="AF46" s="966"/>
      <c r="AG46" s="877"/>
      <c r="AH46" s="967"/>
      <c r="AI46" s="966"/>
      <c r="AJ46" s="877"/>
      <c r="AK46" s="967"/>
      <c r="AL46" s="966"/>
      <c r="AM46" s="877"/>
      <c r="AN46" s="967"/>
      <c r="AO46" s="966"/>
      <c r="AP46" s="877"/>
      <c r="AQ46" s="967"/>
      <c r="AR46" s="966"/>
      <c r="AS46" s="877"/>
      <c r="AT46" s="967"/>
      <c r="AU46" s="966"/>
      <c r="AV46" s="877"/>
      <c r="AW46" s="967"/>
      <c r="AX46" s="966"/>
      <c r="AY46" s="877"/>
      <c r="AZ46" s="967"/>
      <c r="BA46" s="966"/>
      <c r="BB46" s="877"/>
      <c r="BC46" s="967"/>
      <c r="BD46" s="966"/>
      <c r="BE46" s="877"/>
      <c r="BF46" s="967"/>
      <c r="BG46" s="966"/>
      <c r="BH46" s="877"/>
      <c r="BI46" s="967"/>
      <c r="BJ46" s="966"/>
      <c r="BK46" s="877"/>
      <c r="BL46" s="967"/>
      <c r="BM46" s="966"/>
      <c r="BN46" s="877"/>
      <c r="BO46" s="967"/>
      <c r="BP46" s="966"/>
      <c r="BQ46" s="877"/>
      <c r="BR46" s="967"/>
      <c r="BS46" s="966"/>
      <c r="BT46" s="877"/>
      <c r="BU46" s="967"/>
      <c r="BV46" s="966"/>
      <c r="BW46" s="877"/>
      <c r="BX46" s="967"/>
      <c r="BY46" s="966"/>
      <c r="BZ46" s="877"/>
      <c r="CA46" s="967"/>
      <c r="CB46" s="618"/>
    </row>
    <row r="47" spans="1:81" x14ac:dyDescent="0.2">
      <c r="A47" s="879" t="s">
        <v>0</v>
      </c>
      <c r="B47" s="880" t="s">
        <v>23</v>
      </c>
      <c r="C47" s="881"/>
      <c r="D47" s="882" t="s">
        <v>24</v>
      </c>
      <c r="E47" s="883"/>
      <c r="F47" s="774"/>
      <c r="G47" s="882"/>
      <c r="H47" s="884">
        <f>((SUM(I$8*I$8,J$8*J$8))/POWER($C$7,2))*$C$48</f>
        <v>1.6766914777454596E-3</v>
      </c>
      <c r="I47" s="877" t="s">
        <v>2</v>
      </c>
      <c r="J47" s="885">
        <f>($E$48/100)*((SUM(I$8*I$8,J$8*J$8))/$C$7)</f>
        <v>3.8041982213478404E-2</v>
      </c>
      <c r="K47" s="884">
        <f>((SUM(L$8*L$8,M$8*M$8))/POWER($C$7,2))*$C$48</f>
        <v>1.6444314229958562E-3</v>
      </c>
      <c r="L47" s="877" t="s">
        <v>2</v>
      </c>
      <c r="M47" s="885">
        <f>($E$48/100)*((SUM(L$8*L$8,M$8*M$8))/$C$7)</f>
        <v>3.7310042888158736E-2</v>
      </c>
      <c r="N47" s="884">
        <f>((SUM(O$8*O$8,P$8*P$8))/POWER($C$7,2))*$C$48</f>
        <v>1.5999913258719436E-3</v>
      </c>
      <c r="O47" s="877" t="s">
        <v>2</v>
      </c>
      <c r="P47" s="885">
        <f>($E$48/100)*((SUM(O$8*O$8,P$8*P$8))/$C$7)</f>
        <v>3.6301754000911353E-2</v>
      </c>
      <c r="Q47" s="884">
        <f>((SUM(R$8*R$8,S$8*S$8))/POWER($C$7,2))*$C$48</f>
        <v>1.5852229962284852E-3</v>
      </c>
      <c r="R47" s="877" t="s">
        <v>2</v>
      </c>
      <c r="S47" s="885">
        <f>($E$48/100)*((SUM(R$8*R$8,S$8*S$8))/$C$7)</f>
        <v>3.5966679515786242E-2</v>
      </c>
      <c r="T47" s="884">
        <f>((SUM(U$8*U$8,V$8*V$8))/POWER($C$7,2))*$C$48</f>
        <v>1.5964651713982461E-3</v>
      </c>
      <c r="U47" s="877" t="s">
        <v>2</v>
      </c>
      <c r="V47" s="885">
        <f>($E$48/100)*((SUM(U$8*U$8,V$8*V$8))/$C$7)</f>
        <v>3.6221750072012796E-2</v>
      </c>
      <c r="W47" s="884">
        <f>((SUM(X$8*X$8,Y$8*Y$8))/POWER($C$7,2))*$C$48</f>
        <v>1.6566131171925507E-3</v>
      </c>
      <c r="X47" s="877" t="s">
        <v>2</v>
      </c>
      <c r="Y47" s="885">
        <f>($E$48/100)*((SUM(X$8*X$8,Y$8*Y$8))/$C$7)</f>
        <v>3.7586429927820804E-2</v>
      </c>
      <c r="Z47" s="884">
        <f>((SUM(AA$8*AA$8,AB$8*AB$8))/POWER($C$7,2))*$C$48</f>
        <v>1.7732011132314317E-3</v>
      </c>
      <c r="AA47" s="877" t="s">
        <v>2</v>
      </c>
      <c r="AB47" s="885">
        <f>($E$48/100)*((SUM(AA$8*AA$8,AB$8*AB$8))/$C$7)</f>
        <v>4.0231662238287356E-2</v>
      </c>
      <c r="AC47" s="884">
        <f>((SUM(AD$8*AD$8,AE$8*AE$8))/POWER($C$7,2))*$C$48</f>
        <v>1.8847155242280042E-3</v>
      </c>
      <c r="AD47" s="877" t="s">
        <v>2</v>
      </c>
      <c r="AE47" s="885">
        <f>($E$48/100)*((SUM(AD$8*AD$8,AE$8*AE$8))/$C$7)</f>
        <v>4.2761781402119683E-2</v>
      </c>
      <c r="AF47" s="884">
        <f>((SUM(AG$8*AG$8,AH$8*AH$8))/POWER($C$7,2))*$C$48</f>
        <v>1.9847950163470545E-3</v>
      </c>
      <c r="AG47" s="877" t="s">
        <v>2</v>
      </c>
      <c r="AH47" s="885">
        <f>($E$48/100)*((SUM(AG$8*AG$8,AH$8*AH$8))/$C$7)</f>
        <v>4.5032456901852168E-2</v>
      </c>
      <c r="AI47" s="884">
        <f>((SUM(AJ$8*AJ$8,AK$8*AK$8))/POWER($C$7,2))*$C$48</f>
        <v>2.0022886110838576E-3</v>
      </c>
      <c r="AJ47" s="877" t="s">
        <v>2</v>
      </c>
      <c r="AK47" s="885">
        <f>($E$48/100)*((SUM(AJ$8*AJ$8,AK$8*AK$8))/$C$7)</f>
        <v>4.5429364161571839E-2</v>
      </c>
      <c r="AL47" s="884">
        <f>((SUM(AM$8*AM$8,AN$8*AN$8))/POWER($C$7,2))*$C$48</f>
        <v>2.0206157718866222E-3</v>
      </c>
      <c r="AM47" s="877" t="s">
        <v>2</v>
      </c>
      <c r="AN47" s="885">
        <f>($E$48/100)*((SUM(AM$8*AM$8,AN$8*AN$8))/$C$7)</f>
        <v>4.5845183967741426E-2</v>
      </c>
      <c r="AO47" s="884">
        <f>((SUM(AP$8*AP$8,AQ$8*AQ$8))/POWER($C$7,2))*$C$48</f>
        <v>2.0124739660092824E-3</v>
      </c>
      <c r="AP47" s="877" t="s">
        <v>2</v>
      </c>
      <c r="AQ47" s="885">
        <f>($E$48/100)*((SUM(AP$8*AP$8,AQ$8*AQ$8))/$C$7)</f>
        <v>4.5660456819973119E-2</v>
      </c>
      <c r="AR47" s="884">
        <f>((SUM(AS$8*AS$8,AT$8*AT$8))/POWER($C$7,2))*$C$48</f>
        <v>1.8556916768472272E-3</v>
      </c>
      <c r="AS47" s="877" t="s">
        <v>2</v>
      </c>
      <c r="AT47" s="885">
        <f>($E$48/100)*((SUM(AS$8*AS$8,AT$8*AT$8))/$C$7)</f>
        <v>4.2103267477237763E-2</v>
      </c>
      <c r="AU47" s="884">
        <f>((SUM(AV$8*AV$8,AW$8*AW$8))/POWER($C$7,2))*$C$48</f>
        <v>1.9489914684094464E-3</v>
      </c>
      <c r="AV47" s="877" t="s">
        <v>2</v>
      </c>
      <c r="AW47" s="885">
        <f>($E$48/100)*((SUM(AV$8*AV$8,AW$8*AW$8))/$C$7)</f>
        <v>4.4220120254412791E-2</v>
      </c>
      <c r="AX47" s="884">
        <f>((SUM(AY$8*AY$8,AZ$8*AZ$8))/POWER($C$7,2))*$C$48</f>
        <v>1.9117989306252289E-3</v>
      </c>
      <c r="AY47" s="877" t="s">
        <v>2</v>
      </c>
      <c r="AZ47" s="885">
        <f>($E$48/100)*((SUM(AY$8*AY$8,AZ$8*AZ$8))/$C$7)</f>
        <v>4.3376269206297606E-2</v>
      </c>
      <c r="BA47" s="884">
        <f>((SUM(BB$8*BB$8,BC$8*BC$8))/POWER($C$7,2))*$C$48</f>
        <v>1.9313166079935596E-3</v>
      </c>
      <c r="BB47" s="877" t="s">
        <v>2</v>
      </c>
      <c r="BC47" s="885">
        <f>($E$48/100)*((SUM(BB$8*BB$8,BC$8*BC$8))/$C$7)</f>
        <v>4.3819100308590084E-2</v>
      </c>
      <c r="BD47" s="884">
        <f>((SUM(BE$8*BE$8,BF$8*BF$8))/POWER($C$7,2))*$C$48</f>
        <v>2.0764715436139619E-3</v>
      </c>
      <c r="BE47" s="877" t="s">
        <v>2</v>
      </c>
      <c r="BF47" s="885">
        <f>($E$48/100)*((SUM(BE$8*BE$8,BF$8*BF$8))/$C$7)</f>
        <v>4.7112479891156467E-2</v>
      </c>
      <c r="BG47" s="884">
        <f>((SUM(BH$8*BH$8,BI$8*BI$8))/POWER($C$7,2))*$C$48</f>
        <v>1.9993571147461017E-3</v>
      </c>
      <c r="BH47" s="877" t="s">
        <v>2</v>
      </c>
      <c r="BI47" s="885">
        <f>($E$48/100)*((SUM(BH$8*BH$8,BI$8*BI$8))/$C$7)</f>
        <v>4.536285226417152E-2</v>
      </c>
      <c r="BJ47" s="884">
        <f>((SUM(BK$8*BK$8,BL$8*BL$8))/POWER($C$7,2))*$C$48</f>
        <v>2.0737431719427685E-3</v>
      </c>
      <c r="BK47" s="877" t="s">
        <v>2</v>
      </c>
      <c r="BL47" s="885">
        <f>($E$48/100)*((SUM(BK$8*BK$8,BL$8*BL$8))/$C$7)</f>
        <v>4.7050576632289273E-2</v>
      </c>
      <c r="BM47" s="884">
        <f>((SUM(BN$8*BN$8,BO$8*BO$8))/POWER($C$7,2))*$C$48</f>
        <v>1.9189471205339132E-3</v>
      </c>
      <c r="BN47" s="877" t="s">
        <v>2</v>
      </c>
      <c r="BO47" s="885">
        <f>($E$48/100)*((SUM(BN$8*BN$8,BO$8*BO$8))/$C$7)</f>
        <v>4.3538452480307188E-2</v>
      </c>
      <c r="BP47" s="884">
        <f>((SUM(BQ$8*BQ$8,BR$8*BR$8))/POWER($C$7,2))*$C$48</f>
        <v>1.8973977514785791E-3</v>
      </c>
      <c r="BQ47" s="877" t="s">
        <v>2</v>
      </c>
      <c r="BR47" s="885">
        <f>($E$48/100)*((SUM(BQ$8*BQ$8,BR$8*BR$8))/$C$7)</f>
        <v>4.3049524895718394E-2</v>
      </c>
      <c r="BS47" s="884">
        <f>((SUM(BT$8*BT$8,BU$8*BU$8))/POWER($C$7,2))*$C$48</f>
        <v>1.8709666299182596E-3</v>
      </c>
      <c r="BT47" s="877" t="s">
        <v>2</v>
      </c>
      <c r="BU47" s="885">
        <f>($E$48/100)*((SUM(BT$8*BT$8,BU$8*BU$8))/$C$7)</f>
        <v>4.2449836599078403E-2</v>
      </c>
      <c r="BV47" s="884">
        <f>((SUM(BW$8*BW$8,BX$8*BX$8))/POWER($C$7,2))*$C$48</f>
        <v>1.7320749883333632E-3</v>
      </c>
      <c r="BW47" s="877" t="s">
        <v>2</v>
      </c>
      <c r="BX47" s="885">
        <f>($E$48/100)*((SUM(BW$8*BW$8,BX$8*BX$8))/$C$7)</f>
        <v>3.92985631364864E-2</v>
      </c>
      <c r="BY47" s="884">
        <f>((SUM(BZ$8*BZ$8,CA$8*CA$8))/POWER($C$7,2))*$C$48</f>
        <v>1.6161510479655622E-3</v>
      </c>
      <c r="BZ47" s="877" t="s">
        <v>2</v>
      </c>
      <c r="CA47" s="885">
        <f>($E$48/100)*((SUM(BZ$8*BZ$8,CA$8*CA$8))/$C$7)</f>
        <v>3.6668397398709744E-2</v>
      </c>
      <c r="CB47" s="618"/>
    </row>
    <row r="48" spans="1:81" ht="14.25" customHeight="1" thickBot="1" x14ac:dyDescent="0.25">
      <c r="A48" s="886"/>
      <c r="B48" s="776" t="s">
        <v>26</v>
      </c>
      <c r="C48" s="968">
        <v>0.1179</v>
      </c>
      <c r="D48" s="778" t="s">
        <v>27</v>
      </c>
      <c r="E48" s="2309">
        <v>10.7</v>
      </c>
      <c r="F48" s="2309"/>
      <c r="G48" s="473"/>
      <c r="H48" s="887"/>
      <c r="I48" s="969"/>
      <c r="J48" s="889"/>
      <c r="K48" s="887"/>
      <c r="L48" s="969"/>
      <c r="M48" s="889"/>
      <c r="N48" s="887"/>
      <c r="O48" s="969"/>
      <c r="P48" s="889"/>
      <c r="Q48" s="887"/>
      <c r="R48" s="969"/>
      <c r="S48" s="889"/>
      <c r="T48" s="887"/>
      <c r="U48" s="969"/>
      <c r="V48" s="889"/>
      <c r="W48" s="887"/>
      <c r="X48" s="969"/>
      <c r="Y48" s="889"/>
      <c r="Z48" s="887"/>
      <c r="AA48" s="969"/>
      <c r="AB48" s="889"/>
      <c r="AC48" s="887"/>
      <c r="AD48" s="969"/>
      <c r="AE48" s="889"/>
      <c r="AF48" s="887"/>
      <c r="AG48" s="969"/>
      <c r="AH48" s="889"/>
      <c r="AI48" s="887"/>
      <c r="AJ48" s="969"/>
      <c r="AK48" s="889"/>
      <c r="AL48" s="887"/>
      <c r="AM48" s="969"/>
      <c r="AN48" s="889"/>
      <c r="AO48" s="887"/>
      <c r="AP48" s="969"/>
      <c r="AQ48" s="889"/>
      <c r="AR48" s="887"/>
      <c r="AS48" s="969"/>
      <c r="AT48" s="889"/>
      <c r="AU48" s="887"/>
      <c r="AV48" s="969"/>
      <c r="AW48" s="889"/>
      <c r="AX48" s="887"/>
      <c r="AY48" s="969"/>
      <c r="AZ48" s="889"/>
      <c r="BA48" s="887"/>
      <c r="BB48" s="969"/>
      <c r="BC48" s="889"/>
      <c r="BD48" s="887"/>
      <c r="BE48" s="969"/>
      <c r="BF48" s="889"/>
      <c r="BG48" s="887"/>
      <c r="BH48" s="969"/>
      <c r="BI48" s="889"/>
      <c r="BJ48" s="887"/>
      <c r="BK48" s="969"/>
      <c r="BL48" s="889"/>
      <c r="BM48" s="887"/>
      <c r="BN48" s="969"/>
      <c r="BO48" s="889"/>
      <c r="BP48" s="887"/>
      <c r="BQ48" s="969"/>
      <c r="BR48" s="889"/>
      <c r="BS48" s="887"/>
      <c r="BT48" s="969"/>
      <c r="BU48" s="889"/>
      <c r="BV48" s="887"/>
      <c r="BW48" s="969"/>
      <c r="BX48" s="889"/>
      <c r="BY48" s="887"/>
      <c r="BZ48" s="969"/>
      <c r="CA48" s="889"/>
      <c r="CB48" s="618"/>
    </row>
    <row r="49" spans="1:80" ht="13.5" thickBot="1" x14ac:dyDescent="0.25">
      <c r="A49" s="890"/>
      <c r="B49" s="2310" t="s">
        <v>29</v>
      </c>
      <c r="C49" s="2311"/>
      <c r="D49" s="2311"/>
      <c r="E49" s="2311"/>
      <c r="F49" s="2311"/>
      <c r="G49" s="2312"/>
      <c r="H49" s="891">
        <f>SUM(I8,$H$46,H47)</f>
        <v>2.9051326914777458</v>
      </c>
      <c r="I49" s="892" t="s">
        <v>2</v>
      </c>
      <c r="J49" s="893">
        <f>SUM(J8,$J$46,J47)</f>
        <v>0.9836299822134783</v>
      </c>
      <c r="K49" s="891">
        <f>SUM(L8,$H$46,K47)</f>
        <v>2.8734764314229961</v>
      </c>
      <c r="L49" s="892" t="s">
        <v>2</v>
      </c>
      <c r="M49" s="893">
        <f>SUM(M8,$J$46,M47)</f>
        <v>0.9894100428881587</v>
      </c>
      <c r="N49" s="891">
        <f>SUM(O8,$H$46,N47)</f>
        <v>2.8325039913258716</v>
      </c>
      <c r="O49" s="892" t="s">
        <v>2</v>
      </c>
      <c r="P49" s="893">
        <f>SUM(P8,$J$46,P47)</f>
        <v>0.98573775400091135</v>
      </c>
      <c r="Q49" s="891">
        <f>SUM(R8,$H$46,Q47)</f>
        <v>2.8187932229962285</v>
      </c>
      <c r="R49" s="892" t="s">
        <v>2</v>
      </c>
      <c r="S49" s="893">
        <f>SUM(S8,$J$46,S47)</f>
        <v>0.98437867951578628</v>
      </c>
      <c r="T49" s="891">
        <f>SUM(U8,$H$46,T47)</f>
        <v>2.8309884651713983</v>
      </c>
      <c r="U49" s="892" t="s">
        <v>2</v>
      </c>
      <c r="V49" s="893">
        <f>SUM(V8,$J$46,V47)</f>
        <v>0.97905775007201279</v>
      </c>
      <c r="W49" s="891">
        <f>SUM(X8,$H$46,W47)</f>
        <v>2.886040613117193</v>
      </c>
      <c r="X49" s="892" t="s">
        <v>2</v>
      </c>
      <c r="Y49" s="893">
        <f>SUM(Y8,$J$46,Y47)</f>
        <v>0.98513442992782085</v>
      </c>
      <c r="Z49" s="891">
        <f>SUM(AA8,$H$46,Z47)</f>
        <v>2.9910692011132314</v>
      </c>
      <c r="AA49" s="892" t="s">
        <v>2</v>
      </c>
      <c r="AB49" s="893">
        <f>SUM(AB8,$J$46,AB47)</f>
        <v>0.99219566223828737</v>
      </c>
      <c r="AC49" s="891">
        <f>SUM(AD8,$H$46,AC47)</f>
        <v>3.0881007155242282</v>
      </c>
      <c r="AD49" s="892" t="s">
        <v>2</v>
      </c>
      <c r="AE49" s="893">
        <f>SUM(AE8,$J$46,AE47)</f>
        <v>0.99918178140211977</v>
      </c>
      <c r="AF49" s="891">
        <f>SUM(AG8,$H$46,AF47)</f>
        <v>3.1670007950163477</v>
      </c>
      <c r="AG49" s="892" t="s">
        <v>2</v>
      </c>
      <c r="AH49" s="893">
        <f>SUM(AH8,$J$46,AH47)</f>
        <v>1.0276364569018521</v>
      </c>
      <c r="AI49" s="891">
        <f>SUM(AJ8,$H$46,AI47)</f>
        <v>3.1793542886110839</v>
      </c>
      <c r="AJ49" s="892" t="s">
        <v>2</v>
      </c>
      <c r="AK49" s="893">
        <f>SUM(AK8,$J$46,AK47)</f>
        <v>1.0372973641615717</v>
      </c>
      <c r="AL49" s="891">
        <f>SUM(AM8,$H$46,AL47)</f>
        <v>3.185772615771886</v>
      </c>
      <c r="AM49" s="892" t="s">
        <v>2</v>
      </c>
      <c r="AN49" s="893">
        <f>SUM(AN8,$J$46,AN47)</f>
        <v>1.0716571839677413</v>
      </c>
      <c r="AO49" s="891">
        <f>SUM(AP8,$H$46,AO47)</f>
        <v>3.1750604739660093</v>
      </c>
      <c r="AP49" s="892" t="s">
        <v>2</v>
      </c>
      <c r="AQ49" s="893">
        <f>SUM(AQ8,$J$46,AQ47)</f>
        <v>1.0856404568199731</v>
      </c>
      <c r="AR49" s="891">
        <f>SUM(AS8,$H$46,AR47)</f>
        <v>3.0707996916768474</v>
      </c>
      <c r="AS49" s="892" t="s">
        <v>2</v>
      </c>
      <c r="AT49" s="893">
        <f>SUM(AT8,$J$46,AT47)</f>
        <v>0.96701926747723788</v>
      </c>
      <c r="AU49" s="891">
        <f>SUM(AV8,$H$46,AU47)</f>
        <v>3.1342529914684096</v>
      </c>
      <c r="AV49" s="892" t="s">
        <v>2</v>
      </c>
      <c r="AW49" s="893">
        <f>SUM(AW8,$J$46,AW47)</f>
        <v>1.0358081202544129</v>
      </c>
      <c r="AX49" s="891">
        <f>SUM(AY8,$H$46,AX47)</f>
        <v>3.0981757989306256</v>
      </c>
      <c r="AY49" s="892" t="s">
        <v>2</v>
      </c>
      <c r="AZ49" s="893">
        <f>SUM(AZ8,$J$46,AZ47)</f>
        <v>1.0504442692062976</v>
      </c>
      <c r="BA49" s="891">
        <f>SUM(BB8,$H$46,BA47)</f>
        <v>3.1229873166079938</v>
      </c>
      <c r="BB49" s="892" t="s">
        <v>2</v>
      </c>
      <c r="BC49" s="893">
        <f>SUM(BC8,$J$46,BC47)</f>
        <v>1.02067910030859</v>
      </c>
      <c r="BD49" s="891">
        <f>SUM(BE8,$H$46,BD47)</f>
        <v>3.2325724715436137</v>
      </c>
      <c r="BE49" s="892" t="s">
        <v>2</v>
      </c>
      <c r="BF49" s="893">
        <f>SUM(BF8,$J$46,BF47)</f>
        <v>1.0720524798911564</v>
      </c>
      <c r="BG49" s="891">
        <f>SUM(BH8,$H$46,BG47)</f>
        <v>3.1702393571147462</v>
      </c>
      <c r="BH49" s="892" t="s">
        <v>2</v>
      </c>
      <c r="BI49" s="893">
        <f>SUM(BI8,$J$46,BI47)</f>
        <v>1.0623908522641716</v>
      </c>
      <c r="BJ49" s="891">
        <f>SUM(BK8,$H$46,BJ47)</f>
        <v>3.2274977431719427</v>
      </c>
      <c r="BK49" s="892" t="s">
        <v>2</v>
      </c>
      <c r="BL49" s="893">
        <f>SUM(BL8,$J$46,BL47)</f>
        <v>1.0825105766322893</v>
      </c>
      <c r="BM49" s="891">
        <f>SUM(BN8,$H$46,BM47)</f>
        <v>3.1233429471205336</v>
      </c>
      <c r="BN49" s="892" t="s">
        <v>2</v>
      </c>
      <c r="BO49" s="893">
        <f>SUM(BO8,$J$46,BO47)</f>
        <v>0.97703045248030718</v>
      </c>
      <c r="BP49" s="891">
        <f>SUM(BQ8,$H$46,BP47)</f>
        <v>3.1074093977514785</v>
      </c>
      <c r="BQ49" s="892" t="s">
        <v>2</v>
      </c>
      <c r="BR49" s="893">
        <f>SUM(BR8,$J$46,BR47)</f>
        <v>0.96600552489571845</v>
      </c>
      <c r="BS49" s="891">
        <f>SUM(BT8,$H$46,BS47)</f>
        <v>3.0852549666299183</v>
      </c>
      <c r="BT49" s="892" t="s">
        <v>2</v>
      </c>
      <c r="BU49" s="893">
        <f>SUM(BU8,$J$46,BU47)</f>
        <v>0.96258183659907837</v>
      </c>
      <c r="BV49" s="891">
        <f>SUM(BW8,$H$46,BV47)</f>
        <v>2.9595160749883336</v>
      </c>
      <c r="BW49" s="892" t="s">
        <v>2</v>
      </c>
      <c r="BX49" s="893">
        <f>SUM(BX8,$J$46,BX47)</f>
        <v>0.97036656313648639</v>
      </c>
      <c r="BY49" s="891">
        <f>SUM(BZ8,$H$46,BY47)</f>
        <v>2.851240151047965</v>
      </c>
      <c r="BZ49" s="892" t="s">
        <v>2</v>
      </c>
      <c r="CA49" s="893">
        <f>SUM(CA8,$J$46,CA47)</f>
        <v>0.97326439739870974</v>
      </c>
      <c r="CB49" s="618"/>
    </row>
    <row r="50" spans="1:80" x14ac:dyDescent="0.2">
      <c r="A50" s="894"/>
      <c r="B50" s="873" t="s">
        <v>22</v>
      </c>
      <c r="C50" s="874"/>
      <c r="D50" s="875" t="s">
        <v>202</v>
      </c>
      <c r="E50" s="874"/>
      <c r="F50" s="874"/>
      <c r="G50" s="874"/>
      <c r="H50" s="876">
        <v>2.7400000000000001E-2</v>
      </c>
      <c r="I50" s="877" t="s">
        <v>2</v>
      </c>
      <c r="J50" s="895">
        <v>0.1729</v>
      </c>
      <c r="K50" s="876">
        <v>2.7400000000000001E-2</v>
      </c>
      <c r="L50" s="877" t="s">
        <v>2</v>
      </c>
      <c r="M50" s="895">
        <v>0.1729</v>
      </c>
      <c r="N50" s="876">
        <v>2.7400000000000001E-2</v>
      </c>
      <c r="O50" s="877" t="s">
        <v>2</v>
      </c>
      <c r="P50" s="895">
        <v>0.1729</v>
      </c>
      <c r="Q50" s="876">
        <v>2.7400000000000001E-2</v>
      </c>
      <c r="R50" s="877" t="s">
        <v>2</v>
      </c>
      <c r="S50" s="895">
        <v>0.1729</v>
      </c>
      <c r="T50" s="876">
        <v>2.7400000000000001E-2</v>
      </c>
      <c r="U50" s="877" t="s">
        <v>2</v>
      </c>
      <c r="V50" s="895">
        <v>0.1729</v>
      </c>
      <c r="W50" s="876">
        <v>2.7400000000000001E-2</v>
      </c>
      <c r="X50" s="877" t="s">
        <v>2</v>
      </c>
      <c r="Y50" s="895">
        <v>0.1729</v>
      </c>
      <c r="Z50" s="876">
        <v>2.7400000000000001E-2</v>
      </c>
      <c r="AA50" s="877" t="s">
        <v>2</v>
      </c>
      <c r="AB50" s="895">
        <v>0.1729</v>
      </c>
      <c r="AC50" s="876">
        <v>2.7400000000000001E-2</v>
      </c>
      <c r="AD50" s="877" t="s">
        <v>2</v>
      </c>
      <c r="AE50" s="895">
        <v>0.1729</v>
      </c>
      <c r="AF50" s="876">
        <v>2.7400000000000001E-2</v>
      </c>
      <c r="AG50" s="877" t="s">
        <v>2</v>
      </c>
      <c r="AH50" s="895">
        <v>0.1729</v>
      </c>
      <c r="AI50" s="876">
        <v>2.7400000000000001E-2</v>
      </c>
      <c r="AJ50" s="877" t="s">
        <v>2</v>
      </c>
      <c r="AK50" s="895">
        <v>0.1729</v>
      </c>
      <c r="AL50" s="876">
        <v>2.7400000000000001E-2</v>
      </c>
      <c r="AM50" s="877" t="s">
        <v>2</v>
      </c>
      <c r="AN50" s="895">
        <v>0.1729</v>
      </c>
      <c r="AO50" s="876">
        <v>2.7400000000000001E-2</v>
      </c>
      <c r="AP50" s="877" t="s">
        <v>2</v>
      </c>
      <c r="AQ50" s="895">
        <v>0.1729</v>
      </c>
      <c r="AR50" s="876">
        <v>2.7400000000000001E-2</v>
      </c>
      <c r="AS50" s="877" t="s">
        <v>2</v>
      </c>
      <c r="AT50" s="895">
        <v>0.1729</v>
      </c>
      <c r="AU50" s="876">
        <v>2.7400000000000001E-2</v>
      </c>
      <c r="AV50" s="877" t="s">
        <v>2</v>
      </c>
      <c r="AW50" s="895">
        <v>0.1729</v>
      </c>
      <c r="AX50" s="876">
        <v>2.7400000000000001E-2</v>
      </c>
      <c r="AY50" s="877" t="s">
        <v>2</v>
      </c>
      <c r="AZ50" s="895">
        <v>0.1729</v>
      </c>
      <c r="BA50" s="876">
        <v>2.7400000000000001E-2</v>
      </c>
      <c r="BB50" s="877" t="s">
        <v>2</v>
      </c>
      <c r="BC50" s="895">
        <v>0.1729</v>
      </c>
      <c r="BD50" s="876">
        <v>2.7400000000000001E-2</v>
      </c>
      <c r="BE50" s="877" t="s">
        <v>2</v>
      </c>
      <c r="BF50" s="895">
        <v>0.1729</v>
      </c>
      <c r="BG50" s="876">
        <v>2.7400000000000001E-2</v>
      </c>
      <c r="BH50" s="877" t="s">
        <v>2</v>
      </c>
      <c r="BI50" s="895">
        <v>0.1729</v>
      </c>
      <c r="BJ50" s="876">
        <v>2.7400000000000001E-2</v>
      </c>
      <c r="BK50" s="877" t="s">
        <v>2</v>
      </c>
      <c r="BL50" s="895">
        <v>0.1729</v>
      </c>
      <c r="BM50" s="876">
        <v>2.7400000000000001E-2</v>
      </c>
      <c r="BN50" s="877" t="s">
        <v>2</v>
      </c>
      <c r="BO50" s="895">
        <v>0.1729</v>
      </c>
      <c r="BP50" s="876">
        <v>2.7400000000000001E-2</v>
      </c>
      <c r="BQ50" s="877" t="s">
        <v>2</v>
      </c>
      <c r="BR50" s="895">
        <v>0.1729</v>
      </c>
      <c r="BS50" s="876">
        <v>2.7400000000000001E-2</v>
      </c>
      <c r="BT50" s="877" t="s">
        <v>2</v>
      </c>
      <c r="BU50" s="895">
        <v>0.1729</v>
      </c>
      <c r="BV50" s="876">
        <v>2.7400000000000001E-2</v>
      </c>
      <c r="BW50" s="877" t="s">
        <v>2</v>
      </c>
      <c r="BX50" s="895">
        <v>0.1729</v>
      </c>
      <c r="BY50" s="876">
        <v>2.7400000000000001E-2</v>
      </c>
      <c r="BZ50" s="877" t="s">
        <v>2</v>
      </c>
      <c r="CA50" s="895">
        <v>0.1729</v>
      </c>
      <c r="CB50" s="618"/>
    </row>
    <row r="51" spans="1:80" x14ac:dyDescent="0.2">
      <c r="A51" s="781" t="s">
        <v>1</v>
      </c>
      <c r="B51" s="880" t="s">
        <v>23</v>
      </c>
      <c r="C51" s="881"/>
      <c r="D51" s="882" t="s">
        <v>24</v>
      </c>
      <c r="E51" s="883"/>
      <c r="F51" s="774"/>
      <c r="G51" s="882"/>
      <c r="H51" s="884">
        <f>((SUM(I$15*I$15,J$15*J$15))/POWER($C$14,2))*$C$52</f>
        <v>1.6408258698577918E-3</v>
      </c>
      <c r="I51" s="877" t="s">
        <v>2</v>
      </c>
      <c r="J51" s="885">
        <f>($E$52/100)*((SUM(I$15*I$15,J$15*J$15))/$C$14)</f>
        <v>3.7154826634214398E-2</v>
      </c>
      <c r="K51" s="884">
        <f>((SUM(L$15*L$15,M$15*M$15))/POWER($C$14,2))*$C$52</f>
        <v>1.5071084114823168E-3</v>
      </c>
      <c r="L51" s="877" t="s">
        <v>2</v>
      </c>
      <c r="M51" s="885">
        <f>($E$52/100)*((SUM(L$15*L$15,M$15*M$15))/$C$14)</f>
        <v>3.4126931307125762E-2</v>
      </c>
      <c r="N51" s="884">
        <f>((SUM(O$15*O$15,P$15*P$15))/POWER($C$14,2))*$C$52</f>
        <v>1.4510480204412521E-3</v>
      </c>
      <c r="O51" s="877" t="s">
        <v>2</v>
      </c>
      <c r="P51" s="885">
        <f>($E$52/100)*((SUM(O$15*O$15,P$15*P$15))/$C$14)</f>
        <v>3.2857500986431497E-2</v>
      </c>
      <c r="Q51" s="884">
        <f>((SUM(R$15*R$15,S$15*S$15))/POWER($C$14,2))*$C$52</f>
        <v>1.3923495098756506E-3</v>
      </c>
      <c r="R51" s="877" t="s">
        <v>2</v>
      </c>
      <c r="S51" s="885">
        <f>($E$52/100)*((SUM(R$15*R$15,S$15*S$15))/$C$14)</f>
        <v>3.1528333142472199E-2</v>
      </c>
      <c r="T51" s="884">
        <f>((SUM(U$15*U$15,V$15*V$15))/POWER($C$14,2))*$C$52</f>
        <v>1.3965846292018174E-3</v>
      </c>
      <c r="U51" s="877" t="s">
        <v>2</v>
      </c>
      <c r="V51" s="885">
        <f>($E$52/100)*((SUM(U$15*U$15,V$15*V$15))/$C$14)</f>
        <v>3.1624233095800321E-2</v>
      </c>
      <c r="W51" s="884">
        <f>((SUM(X$15*X$15,Y$15*Y$15))/POWER($C$14,2))*$C$52</f>
        <v>1.4536264703267632E-3</v>
      </c>
      <c r="X51" s="877" t="s">
        <v>2</v>
      </c>
      <c r="Y51" s="885">
        <f>($E$52/100)*((SUM(X$15*X$15,Y$15*Y$15))/$C$14)</f>
        <v>3.2915887351640062E-2</v>
      </c>
      <c r="Z51" s="884">
        <f>((SUM(AA$15*AA$15,AB$15*AB$15))/POWER($C$14,2))*$C$52</f>
        <v>1.7340534688492955E-3</v>
      </c>
      <c r="AA51" s="877" t="s">
        <v>2</v>
      </c>
      <c r="AB51" s="885">
        <f>($E$52/100)*((SUM(AA$15*AA$15,AB$15*AB$15))/$C$14)</f>
        <v>3.9265870433367558E-2</v>
      </c>
      <c r="AC51" s="884">
        <f>((SUM(AD$15*AD$15,AE$15*AE$15))/POWER($C$14,2))*$C$52</f>
        <v>2.0121177849962489E-3</v>
      </c>
      <c r="AD51" s="877" t="s">
        <v>2</v>
      </c>
      <c r="AE51" s="885">
        <f>($E$52/100)*((SUM(AD$15*AD$15,AE$15*AE$15))/$C$14)</f>
        <v>4.5562352984862713E-2</v>
      </c>
      <c r="AF51" s="884">
        <f>((SUM(AG$15*AG$15,AH$15*AH$15))/POWER($C$14,2))*$C$52</f>
        <v>2.1929009670440757E-3</v>
      </c>
      <c r="AG51" s="877" t="s">
        <v>2</v>
      </c>
      <c r="AH51" s="885">
        <f>($E$52/100)*((SUM(AG$15*AG$15,AH$15*AH$15))/$C$14)</f>
        <v>4.9656003573118467E-2</v>
      </c>
      <c r="AI51" s="884">
        <f>((SUM(AJ$15*AJ$15,AK$15*AK$15))/POWER($C$14,2))*$C$52</f>
        <v>2.2861661230453552E-3</v>
      </c>
      <c r="AJ51" s="877" t="s">
        <v>2</v>
      </c>
      <c r="AK51" s="885">
        <f>($E$52/100)*((SUM(AJ$15*AJ$15,AK$15*AK$15))/$C$14)</f>
        <v>5.1767897812414462E-2</v>
      </c>
      <c r="AL51" s="884">
        <f>((SUM(AM$15*AM$15,AN$15*AN$15))/POWER($C$14,2))*$C$52</f>
        <v>2.2015166681240358E-3</v>
      </c>
      <c r="AM51" s="877" t="s">
        <v>2</v>
      </c>
      <c r="AN51" s="885">
        <f>($E$52/100)*((SUM(AM$15*AM$15,AN$15*AN$15))/$C$14)</f>
        <v>4.9851097327939568E-2</v>
      </c>
      <c r="AO51" s="884">
        <f>((SUM(AP$15*AP$15,AQ$15*AQ$15))/POWER($C$14,2))*$C$52</f>
        <v>2.214764655689933E-3</v>
      </c>
      <c r="AP51" s="877" t="s">
        <v>2</v>
      </c>
      <c r="AQ51" s="885">
        <f>($E$52/100)*((SUM(AP$15*AP$15,AQ$15*AQ$15))/$C$14)</f>
        <v>5.0151084480936969E-2</v>
      </c>
      <c r="AR51" s="884">
        <f>((SUM(AS$15*AS$15,AT$15*AT$15))/POWER($C$14,2))*$C$52</f>
        <v>2.2195835800072395E-3</v>
      </c>
      <c r="AS51" s="877" t="s">
        <v>2</v>
      </c>
      <c r="AT51" s="885">
        <f>($E$52/100)*((SUM(AS$15*AS$15,AT$15*AT$15))/$C$14)</f>
        <v>5.0260204102258177E-2</v>
      </c>
      <c r="AU51" s="884">
        <f>((SUM(AV$15*AV$15,AW$15*AW$15))/POWER($C$14,2))*$C$52</f>
        <v>2.2075130153579527E-3</v>
      </c>
      <c r="AV51" s="877" t="s">
        <v>2</v>
      </c>
      <c r="AW51" s="885">
        <f>($E$52/100)*((SUM(AV$15*AV$15,AW$15*AW$15))/$C$14)</f>
        <v>4.9986878489126418E-2</v>
      </c>
      <c r="AX51" s="884">
        <f>((SUM(AY$15*AY$15,AZ$15*AZ$15))/POWER($C$14,2))*$C$52</f>
        <v>2.1845898508988E-3</v>
      </c>
      <c r="AY51" s="877" t="s">
        <v>2</v>
      </c>
      <c r="AZ51" s="885">
        <f>($E$52/100)*((SUM(AY$15*AY$15,AZ$15*AZ$15))/$C$14)</f>
        <v>4.9467806833179639E-2</v>
      </c>
      <c r="BA51" s="884">
        <f>((SUM(BB$15*BB$15,BC$15*BC$15))/POWER($C$14,2))*$C$52</f>
        <v>2.2457495714353157E-3</v>
      </c>
      <c r="BB51" s="877" t="s">
        <v>2</v>
      </c>
      <c r="BC51" s="885">
        <f>($E$52/100)*((SUM(BB$15*BB$15,BC$15*BC$15))/$C$14)</f>
        <v>5.085270626417665E-2</v>
      </c>
      <c r="BD51" s="884">
        <f>((SUM(BE$15*BE$15,BF$15*BF$15))/POWER($C$14,2))*$C$52</f>
        <v>2.3934983974705764E-3</v>
      </c>
      <c r="BE51" s="877" t="s">
        <v>2</v>
      </c>
      <c r="BF51" s="885">
        <f>($E$52/100)*((SUM(BE$15*BE$15,BF$15*BF$15))/$C$14)</f>
        <v>5.4198327586702837E-2</v>
      </c>
      <c r="BG51" s="884">
        <f>((SUM(BH$15*BH$15,BI$15*BI$15))/POWER($C$14,2))*$C$52</f>
        <v>2.4489891088003892E-3</v>
      </c>
      <c r="BH51" s="877" t="s">
        <v>2</v>
      </c>
      <c r="BI51" s="885">
        <f>($E$52/100)*((SUM(BH$15*BH$15,BI$15*BI$15))/$C$14)</f>
        <v>5.5454858091945995E-2</v>
      </c>
      <c r="BJ51" s="884">
        <f>((SUM(BK$15*BK$15,BL$15*BL$15))/POWER($C$14,2))*$C$52</f>
        <v>2.4677514353987785E-3</v>
      </c>
      <c r="BK51" s="877" t="s">
        <v>2</v>
      </c>
      <c r="BL51" s="885">
        <f>($E$52/100)*((SUM(BK$15*BK$15,BL$15*BL$15))/$C$14)</f>
        <v>5.5879711822511613E-2</v>
      </c>
      <c r="BM51" s="884">
        <f>((SUM(BN$15*BN$15,BO$15*BO$15))/POWER($C$14,2))*$C$52</f>
        <v>2.4487077250842002E-3</v>
      </c>
      <c r="BN51" s="877" t="s">
        <v>2</v>
      </c>
      <c r="BO51" s="885">
        <f>($E$52/100)*((SUM(BN$15*BN$15,BO$15*BO$15))/$C$14)</f>
        <v>5.5448486444969476E-2</v>
      </c>
      <c r="BP51" s="884">
        <f>((SUM(BQ$15*BQ$15,BR$15*BR$15))/POWER($C$14,2))*$C$52</f>
        <v>2.4126763238433171E-3</v>
      </c>
      <c r="BQ51" s="877" t="s">
        <v>2</v>
      </c>
      <c r="BR51" s="885">
        <f>($E$52/100)*((SUM(BQ$15*BQ$15,BR$15*BR$15))/$C$14)</f>
        <v>5.4632592149855219E-2</v>
      </c>
      <c r="BS51" s="884">
        <f>((SUM(BT$15*BT$15,BU$15*BU$15))/POWER($C$14,2))*$C$52</f>
        <v>2.2936021154458834E-3</v>
      </c>
      <c r="BT51" s="877" t="s">
        <v>2</v>
      </c>
      <c r="BU51" s="885">
        <f>($E$52/100)*((SUM(BT$15*BT$15,BU$15*BU$15))/$C$14)</f>
        <v>5.1936278268604433E-2</v>
      </c>
      <c r="BV51" s="884">
        <f>((SUM(BW$15*BW$15,BX$15*BX$15))/POWER($C$14,2))*$C$52</f>
        <v>2.097538119635619E-3</v>
      </c>
      <c r="BW51" s="877" t="s">
        <v>2</v>
      </c>
      <c r="BX51" s="885">
        <f>($E$52/100)*((SUM(BW$15*BW$15,BX$15*BX$15))/$C$14)</f>
        <v>4.7496609253529082E-2</v>
      </c>
      <c r="BY51" s="884">
        <f>((SUM(BZ$15*BZ$15,CA$15*CA$15))/POWER($C$14,2))*$C$52</f>
        <v>1.8012533623705188E-3</v>
      </c>
      <c r="BZ51" s="877" t="s">
        <v>2</v>
      </c>
      <c r="CA51" s="885">
        <f>($E$52/100)*((SUM(BZ$15*BZ$15,CA$15*CA$15))/$C$14)</f>
        <v>4.0787543414934534E-2</v>
      </c>
      <c r="CB51" s="618"/>
    </row>
    <row r="52" spans="1:80" ht="13.5" thickBot="1" x14ac:dyDescent="0.25">
      <c r="A52" s="898"/>
      <c r="B52" s="776" t="s">
        <v>26</v>
      </c>
      <c r="C52" s="968">
        <v>0.11459999999999999</v>
      </c>
      <c r="D52" s="778" t="s">
        <v>27</v>
      </c>
      <c r="E52" s="2313">
        <v>10.38</v>
      </c>
      <c r="F52" s="2313"/>
      <c r="G52" s="473"/>
      <c r="H52" s="899"/>
      <c r="I52" s="900"/>
      <c r="J52" s="901"/>
      <c r="K52" s="899"/>
      <c r="L52" s="900"/>
      <c r="M52" s="901"/>
      <c r="N52" s="899"/>
      <c r="O52" s="900"/>
      <c r="P52" s="901"/>
      <c r="Q52" s="899"/>
      <c r="R52" s="900"/>
      <c r="S52" s="901"/>
      <c r="T52" s="899"/>
      <c r="U52" s="900"/>
      <c r="V52" s="901"/>
      <c r="W52" s="899"/>
      <c r="X52" s="900"/>
      <c r="Y52" s="901"/>
      <c r="Z52" s="899"/>
      <c r="AA52" s="900"/>
      <c r="AB52" s="901"/>
      <c r="AC52" s="899"/>
      <c r="AD52" s="900"/>
      <c r="AE52" s="901"/>
      <c r="AF52" s="899"/>
      <c r="AG52" s="900"/>
      <c r="AH52" s="901"/>
      <c r="AI52" s="899"/>
      <c r="AJ52" s="900"/>
      <c r="AK52" s="901"/>
      <c r="AL52" s="899"/>
      <c r="AM52" s="900"/>
      <c r="AN52" s="901"/>
      <c r="AO52" s="899"/>
      <c r="AP52" s="900"/>
      <c r="AQ52" s="901"/>
      <c r="AR52" s="899"/>
      <c r="AS52" s="900"/>
      <c r="AT52" s="901"/>
      <c r="AU52" s="899"/>
      <c r="AV52" s="900"/>
      <c r="AW52" s="901"/>
      <c r="AX52" s="899"/>
      <c r="AY52" s="900"/>
      <c r="AZ52" s="901"/>
      <c r="BA52" s="899"/>
      <c r="BB52" s="900"/>
      <c r="BC52" s="901"/>
      <c r="BD52" s="899"/>
      <c r="BE52" s="900"/>
      <c r="BF52" s="901"/>
      <c r="BG52" s="899"/>
      <c r="BH52" s="900"/>
      <c r="BI52" s="901"/>
      <c r="BJ52" s="899"/>
      <c r="BK52" s="900"/>
      <c r="BL52" s="901"/>
      <c r="BM52" s="899"/>
      <c r="BN52" s="900"/>
      <c r="BO52" s="901"/>
      <c r="BP52" s="899"/>
      <c r="BQ52" s="900"/>
      <c r="BR52" s="901"/>
      <c r="BS52" s="899"/>
      <c r="BT52" s="900"/>
      <c r="BU52" s="901"/>
      <c r="BV52" s="899"/>
      <c r="BW52" s="900"/>
      <c r="BX52" s="901"/>
      <c r="BY52" s="899"/>
      <c r="BZ52" s="900"/>
      <c r="CA52" s="901"/>
      <c r="CB52" s="618"/>
    </row>
    <row r="53" spans="1:80" ht="13.5" thickBot="1" x14ac:dyDescent="0.25">
      <c r="A53" s="902"/>
      <c r="B53" s="2310" t="s">
        <v>29</v>
      </c>
      <c r="C53" s="2311"/>
      <c r="D53" s="2311"/>
      <c r="E53" s="2311"/>
      <c r="F53" s="2311"/>
      <c r="G53" s="2312"/>
      <c r="H53" s="891">
        <f>SUM(I15,$H$50,H51)</f>
        <v>2.9414008258698581</v>
      </c>
      <c r="I53" s="892" t="s">
        <v>2</v>
      </c>
      <c r="J53" s="893">
        <f>SUM(J15,$J$50,J51)</f>
        <v>0.89329482663421433</v>
      </c>
      <c r="K53" s="891">
        <f>SUM(L15,$H$50,K51)</f>
        <v>2.8146751084114823</v>
      </c>
      <c r="L53" s="892" t="s">
        <v>2</v>
      </c>
      <c r="M53" s="893">
        <f>SUM(M15,$J$50,M51)</f>
        <v>0.88444293130712581</v>
      </c>
      <c r="N53" s="891">
        <f>SUM(O15,$H$50,N51)</f>
        <v>2.7595710480204416</v>
      </c>
      <c r="O53" s="892" t="s">
        <v>2</v>
      </c>
      <c r="P53" s="893">
        <f>SUM(P15,$J$50,P51)</f>
        <v>0.88164550098643135</v>
      </c>
      <c r="Q53" s="891">
        <f>SUM(R15,$H$50,Q51)</f>
        <v>2.700512349509876</v>
      </c>
      <c r="R53" s="892" t="s">
        <v>2</v>
      </c>
      <c r="S53" s="893">
        <f>SUM(S15,$J$50,S51)</f>
        <v>0.87929233314247213</v>
      </c>
      <c r="T53" s="891">
        <f>SUM(U15,$H$50,T51)</f>
        <v>2.7049485846292018</v>
      </c>
      <c r="U53" s="892" t="s">
        <v>2</v>
      </c>
      <c r="V53" s="893">
        <f>SUM(V15,$J$50,V51)</f>
        <v>0.87894023309580027</v>
      </c>
      <c r="W53" s="891">
        <f>SUM(X15,$H$50,W51)</f>
        <v>2.7625976264703267</v>
      </c>
      <c r="X53" s="892" t="s">
        <v>2</v>
      </c>
      <c r="Y53" s="893">
        <f>SUM(Y15,$J$50,Y51)</f>
        <v>0.87987988735164013</v>
      </c>
      <c r="Z53" s="891">
        <f>SUM(AA15,$H$50,Z51)</f>
        <v>3.0253100534688495</v>
      </c>
      <c r="AA53" s="892" t="s">
        <v>2</v>
      </c>
      <c r="AB53" s="893">
        <f>SUM(AB15,$J$50,AB51)</f>
        <v>0.90500587043336755</v>
      </c>
      <c r="AC53" s="891">
        <f>SUM(AD15,$H$50,AC51)</f>
        <v>3.2677641177849961</v>
      </c>
      <c r="AD53" s="892" t="s">
        <v>2</v>
      </c>
      <c r="AE53" s="893">
        <f>SUM(AE15,$J$50,AE51)</f>
        <v>0.91607835298486273</v>
      </c>
      <c r="AF53" s="891">
        <f>SUM(AG15,$H$50,AF51)</f>
        <v>3.4176489009670443</v>
      </c>
      <c r="AG53" s="892" t="s">
        <v>2</v>
      </c>
      <c r="AH53" s="893">
        <f>SUM(AH15,$J$50,AH51)</f>
        <v>0.91582000357311866</v>
      </c>
      <c r="AI53" s="891">
        <f>SUM(AJ15,$H$50,AI51)</f>
        <v>3.4903101661230451</v>
      </c>
      <c r="AJ53" s="892" t="s">
        <v>2</v>
      </c>
      <c r="AK53" s="893">
        <f>SUM(AK15,$J$50,AK51)</f>
        <v>0.92628389781241449</v>
      </c>
      <c r="AL53" s="891">
        <f>SUM(AM15,$H$50,AL51)</f>
        <v>3.4238575166681238</v>
      </c>
      <c r="AM53" s="892" t="s">
        <v>2</v>
      </c>
      <c r="AN53" s="893">
        <f>SUM(AN15,$J$50,AN51)</f>
        <v>0.91956709732793973</v>
      </c>
      <c r="AO53" s="891">
        <f>SUM(AP15,$H$50,AO51)</f>
        <v>3.43354276465569</v>
      </c>
      <c r="AP53" s="892" t="s">
        <v>2</v>
      </c>
      <c r="AQ53" s="893">
        <f>SUM(AQ15,$J$50,AQ51)</f>
        <v>0.92451508448093711</v>
      </c>
      <c r="AR53" s="891">
        <f>SUM(AS15,$H$50,AR51)</f>
        <v>3.4397875835800074</v>
      </c>
      <c r="AS53" s="892" t="s">
        <v>2</v>
      </c>
      <c r="AT53" s="893">
        <f>SUM(AT15,$J$50,AT51)</f>
        <v>0.91295220410225819</v>
      </c>
      <c r="AU53" s="891">
        <f>SUM(AV15,$H$50,AU51)</f>
        <v>3.4277675130153589</v>
      </c>
      <c r="AV53" s="892" t="s">
        <v>2</v>
      </c>
      <c r="AW53" s="893">
        <f>SUM(AW15,$J$50,AW51)</f>
        <v>0.92412687848912634</v>
      </c>
      <c r="AX53" s="891">
        <f>SUM(AY15,$H$50,AX51)</f>
        <v>3.4082165898508987</v>
      </c>
      <c r="AY53" s="892" t="s">
        <v>2</v>
      </c>
      <c r="AZ53" s="893">
        <f>SUM(AZ15,$J$50,AZ51)</f>
        <v>0.92880780683317965</v>
      </c>
      <c r="BA53" s="891">
        <f>SUM(BB15,$H$50,BA51)</f>
        <v>3.4574537495714357</v>
      </c>
      <c r="BB53" s="892" t="s">
        <v>2</v>
      </c>
      <c r="BC53" s="893">
        <f>SUM(BC15,$J$50,BC51)</f>
        <v>0.92936870626417667</v>
      </c>
      <c r="BD53" s="891">
        <f>SUM(BE15,$H$50,BD51)</f>
        <v>3.5728254983974703</v>
      </c>
      <c r="BE53" s="892" t="s">
        <v>2</v>
      </c>
      <c r="BF53" s="893">
        <f>SUM(BF15,$J$50,BF51)</f>
        <v>0.93453832758670297</v>
      </c>
      <c r="BG53" s="891">
        <f>SUM(BH15,$H$50,BG51)</f>
        <v>3.6163129891088004</v>
      </c>
      <c r="BH53" s="892" t="s">
        <v>2</v>
      </c>
      <c r="BI53" s="893">
        <f>SUM(BI15,$J$50,BI51)</f>
        <v>0.9308188580919462</v>
      </c>
      <c r="BJ53" s="891">
        <f>SUM(BK15,$H$50,BJ51)</f>
        <v>3.6349557514353985</v>
      </c>
      <c r="BK53" s="892" t="s">
        <v>2</v>
      </c>
      <c r="BL53" s="893">
        <f>SUM(BL15,$J$50,BL51)</f>
        <v>0.90837171182251164</v>
      </c>
      <c r="BM53" s="891">
        <f>SUM(BN15,$H$50,BM51)</f>
        <v>3.6203047077250838</v>
      </c>
      <c r="BN53" s="892" t="s">
        <v>2</v>
      </c>
      <c r="BO53" s="893">
        <f>SUM(BO15,$J$50,BO51)</f>
        <v>0.90898848644496943</v>
      </c>
      <c r="BP53" s="891">
        <f>SUM(BQ15,$H$50,BP51)</f>
        <v>3.591916676323843</v>
      </c>
      <c r="BQ53" s="892" t="s">
        <v>2</v>
      </c>
      <c r="BR53" s="893">
        <f>SUM(BR15,$J$50,BR51)</f>
        <v>0.91277259214985529</v>
      </c>
      <c r="BS53" s="891">
        <f>SUM(BT15,$H$50,BS51)</f>
        <v>3.4954056021154463</v>
      </c>
      <c r="BT53" s="892" t="s">
        <v>2</v>
      </c>
      <c r="BU53" s="893">
        <f>SUM(BU15,$J$50,BU51)</f>
        <v>0.93022827826860455</v>
      </c>
      <c r="BV53" s="891">
        <f>SUM(BW15,$H$50,BV51)</f>
        <v>3.3360095381196353</v>
      </c>
      <c r="BW53" s="892" t="s">
        <v>2</v>
      </c>
      <c r="BX53" s="893">
        <f>SUM(BX15,$J$50,BX51)</f>
        <v>0.93203660925352894</v>
      </c>
      <c r="BY53" s="891">
        <f>SUM(BZ15,$H$50,BY51)</f>
        <v>3.0840092533623706</v>
      </c>
      <c r="BZ53" s="892" t="s">
        <v>2</v>
      </c>
      <c r="CA53" s="893">
        <f>SUM(CA15,$J$50,CA51)</f>
        <v>0.91492754341493465</v>
      </c>
      <c r="CB53" s="618"/>
    </row>
    <row r="54" spans="1:80" x14ac:dyDescent="0.2">
      <c r="A54" s="787" t="s">
        <v>20</v>
      </c>
      <c r="B54" s="903"/>
      <c r="C54" s="789"/>
      <c r="D54" s="788"/>
      <c r="E54" s="825"/>
      <c r="F54" s="473"/>
      <c r="G54" s="473"/>
      <c r="H54" s="904"/>
      <c r="I54" s="905"/>
      <c r="J54" s="906"/>
      <c r="K54" s="904"/>
      <c r="L54" s="905"/>
      <c r="M54" s="906"/>
      <c r="N54" s="904"/>
      <c r="O54" s="905"/>
      <c r="P54" s="906"/>
      <c r="Q54" s="904"/>
      <c r="R54" s="905"/>
      <c r="S54" s="906"/>
      <c r="T54" s="904"/>
      <c r="U54" s="905"/>
      <c r="V54" s="906"/>
      <c r="W54" s="904"/>
      <c r="X54" s="905"/>
      <c r="Y54" s="906"/>
      <c r="Z54" s="904"/>
      <c r="AA54" s="905"/>
      <c r="AB54" s="906"/>
      <c r="AC54" s="904"/>
      <c r="AD54" s="905"/>
      <c r="AE54" s="906"/>
      <c r="AF54" s="904"/>
      <c r="AG54" s="905"/>
      <c r="AH54" s="906"/>
      <c r="AI54" s="904"/>
      <c r="AJ54" s="905"/>
      <c r="AK54" s="906"/>
      <c r="AL54" s="904"/>
      <c r="AM54" s="905"/>
      <c r="AN54" s="906"/>
      <c r="AO54" s="904"/>
      <c r="AP54" s="905"/>
      <c r="AQ54" s="906"/>
      <c r="AR54" s="904"/>
      <c r="AS54" s="905"/>
      <c r="AT54" s="906"/>
      <c r="AU54" s="904"/>
      <c r="AV54" s="905"/>
      <c r="AW54" s="906"/>
      <c r="AX54" s="904"/>
      <c r="AY54" s="905"/>
      <c r="AZ54" s="906"/>
      <c r="BA54" s="904"/>
      <c r="BB54" s="905"/>
      <c r="BC54" s="906"/>
      <c r="BD54" s="904"/>
      <c r="BE54" s="905"/>
      <c r="BF54" s="906"/>
      <c r="BG54" s="904"/>
      <c r="BH54" s="905"/>
      <c r="BI54" s="906"/>
      <c r="BJ54" s="904"/>
      <c r="BK54" s="905"/>
      <c r="BL54" s="906"/>
      <c r="BM54" s="904"/>
      <c r="BN54" s="905"/>
      <c r="BO54" s="906"/>
      <c r="BP54" s="904"/>
      <c r="BQ54" s="905"/>
      <c r="BR54" s="906"/>
      <c r="BS54" s="904"/>
      <c r="BT54" s="905"/>
      <c r="BU54" s="906"/>
      <c r="BV54" s="904"/>
      <c r="BW54" s="905"/>
      <c r="BX54" s="906"/>
      <c r="BY54" s="904"/>
      <c r="BZ54" s="905"/>
      <c r="CA54" s="906"/>
      <c r="CB54" s="618"/>
    </row>
    <row r="55" spans="1:80" ht="15" customHeight="1" thickBot="1" x14ac:dyDescent="0.3">
      <c r="A55" s="791" t="s">
        <v>21</v>
      </c>
      <c r="B55" s="792"/>
      <c r="C55" s="793"/>
      <c r="D55" s="792"/>
      <c r="E55" s="828"/>
      <c r="F55" s="792" t="s">
        <v>25</v>
      </c>
      <c r="G55" s="828"/>
      <c r="H55" s="907">
        <f>SUM(H49,H53)</f>
        <v>5.8465335173476038</v>
      </c>
      <c r="I55" s="908" t="s">
        <v>2</v>
      </c>
      <c r="J55" s="909">
        <f>SUM(J49,J53)</f>
        <v>1.8769248088476926</v>
      </c>
      <c r="K55" s="907">
        <f>SUM(K49,K53)</f>
        <v>5.6881515398344789</v>
      </c>
      <c r="L55" s="908" t="s">
        <v>2</v>
      </c>
      <c r="M55" s="909">
        <f>SUM(M49,M53)</f>
        <v>1.8738529741952845</v>
      </c>
      <c r="N55" s="907">
        <f>SUM(N49,N53)</f>
        <v>5.5920750393463132</v>
      </c>
      <c r="O55" s="908" t="s">
        <v>2</v>
      </c>
      <c r="P55" s="909">
        <f>SUM(P49,P53)</f>
        <v>1.8673832549873426</v>
      </c>
      <c r="Q55" s="907">
        <f>SUM(Q49,Q53)</f>
        <v>5.519305572506104</v>
      </c>
      <c r="R55" s="908" t="s">
        <v>2</v>
      </c>
      <c r="S55" s="909">
        <f>SUM(S49,S53)</f>
        <v>1.8636710126582585</v>
      </c>
      <c r="T55" s="907">
        <f>SUM(T49,T53)</f>
        <v>5.5359370498005998</v>
      </c>
      <c r="U55" s="908" t="s">
        <v>2</v>
      </c>
      <c r="V55" s="909">
        <f>SUM(V49,V53)</f>
        <v>1.8579979831678131</v>
      </c>
      <c r="W55" s="907">
        <f>SUM(W49,W53)</f>
        <v>5.6486382395875196</v>
      </c>
      <c r="X55" s="908" t="s">
        <v>2</v>
      </c>
      <c r="Y55" s="909">
        <f>SUM(Y49,Y53)</f>
        <v>1.8650143172794609</v>
      </c>
      <c r="Z55" s="907">
        <f>SUM(Z49,Z53)</f>
        <v>6.0163792545820804</v>
      </c>
      <c r="AA55" s="908" t="s">
        <v>2</v>
      </c>
      <c r="AB55" s="909">
        <f>SUM(AB49,AB53)</f>
        <v>1.8972015326716549</v>
      </c>
      <c r="AC55" s="907">
        <f>SUM(AC49,AC53)</f>
        <v>6.3558648333092247</v>
      </c>
      <c r="AD55" s="908" t="s">
        <v>2</v>
      </c>
      <c r="AE55" s="909">
        <f>SUM(AE49,AE53)</f>
        <v>1.9152601343869824</v>
      </c>
      <c r="AF55" s="907">
        <f>SUM(AF49,AF53)</f>
        <v>6.5846496959833924</v>
      </c>
      <c r="AG55" s="908" t="s">
        <v>2</v>
      </c>
      <c r="AH55" s="909">
        <f>SUM(AH49,AH53)</f>
        <v>1.9434564604749709</v>
      </c>
      <c r="AI55" s="907">
        <f>SUM(AI49,AI53)</f>
        <v>6.6696644547341286</v>
      </c>
      <c r="AJ55" s="908" t="s">
        <v>2</v>
      </c>
      <c r="AK55" s="909">
        <f>SUM(AK49,AK53)</f>
        <v>1.9635812619739861</v>
      </c>
      <c r="AL55" s="907">
        <f>SUM(AL49,AL53)</f>
        <v>6.6096301324400102</v>
      </c>
      <c r="AM55" s="908" t="s">
        <v>2</v>
      </c>
      <c r="AN55" s="909">
        <f>SUM(AN49,AN53)</f>
        <v>1.9912242812956811</v>
      </c>
      <c r="AO55" s="907">
        <f>SUM(AO49,AO53)</f>
        <v>6.6086032386216988</v>
      </c>
      <c r="AP55" s="908" t="s">
        <v>2</v>
      </c>
      <c r="AQ55" s="909">
        <f>SUM(AQ49,AQ53)</f>
        <v>2.01015554130091</v>
      </c>
      <c r="AR55" s="907">
        <f>SUM(AR49,AR53)</f>
        <v>6.5105872752568548</v>
      </c>
      <c r="AS55" s="908" t="s">
        <v>2</v>
      </c>
      <c r="AT55" s="909">
        <f>SUM(AT49,AT53)</f>
        <v>1.8799714715794962</v>
      </c>
      <c r="AU55" s="907">
        <f>SUM(AU49,AU53)</f>
        <v>6.5620205044837689</v>
      </c>
      <c r="AV55" s="908" t="s">
        <v>2</v>
      </c>
      <c r="AW55" s="909">
        <f>SUM(AW49,AW53)</f>
        <v>1.9599349987435393</v>
      </c>
      <c r="AX55" s="907">
        <f>SUM(AX49,AX53)</f>
        <v>6.5063923887815243</v>
      </c>
      <c r="AY55" s="908" t="s">
        <v>2</v>
      </c>
      <c r="AZ55" s="909">
        <f>SUM(AZ49,AZ53)</f>
        <v>1.9792520760394772</v>
      </c>
      <c r="BA55" s="907">
        <f>SUM(BA49,BA53)</f>
        <v>6.5804410661794295</v>
      </c>
      <c r="BB55" s="908" t="s">
        <v>2</v>
      </c>
      <c r="BC55" s="909">
        <f>SUM(BC49,BC53)</f>
        <v>1.9500478065727667</v>
      </c>
      <c r="BD55" s="907">
        <f>SUM(BD49,BD53)</f>
        <v>6.805397969941084</v>
      </c>
      <c r="BE55" s="908" t="s">
        <v>2</v>
      </c>
      <c r="BF55" s="909">
        <f>SUM(BF49,BF53)</f>
        <v>2.0065908074778593</v>
      </c>
      <c r="BG55" s="907">
        <f>SUM(BG49,BG53)</f>
        <v>6.7865523462235462</v>
      </c>
      <c r="BH55" s="908" t="s">
        <v>2</v>
      </c>
      <c r="BI55" s="909">
        <f>SUM(BI49,BI53)</f>
        <v>1.9932097103561177</v>
      </c>
      <c r="BJ55" s="907">
        <f>SUM(BJ49,BJ53)</f>
        <v>6.8624534946073412</v>
      </c>
      <c r="BK55" s="908" t="s">
        <v>2</v>
      </c>
      <c r="BL55" s="909">
        <f>SUM(BL49,BL53)</f>
        <v>1.990882288454801</v>
      </c>
      <c r="BM55" s="907">
        <f>SUM(BM49,BM53)</f>
        <v>6.743647654845617</v>
      </c>
      <c r="BN55" s="908" t="s">
        <v>2</v>
      </c>
      <c r="BO55" s="909">
        <f>SUM(BO49,BO53)</f>
        <v>1.8860189389252766</v>
      </c>
      <c r="BP55" s="907">
        <f>SUM(BP49,BP53)</f>
        <v>6.6993260740753211</v>
      </c>
      <c r="BQ55" s="908" t="s">
        <v>2</v>
      </c>
      <c r="BR55" s="909">
        <f>SUM(BR49,BR53)</f>
        <v>1.8787781170455737</v>
      </c>
      <c r="BS55" s="907">
        <f>SUM(BS49,BS53)</f>
        <v>6.5806605687453645</v>
      </c>
      <c r="BT55" s="908" t="s">
        <v>2</v>
      </c>
      <c r="BU55" s="909">
        <f>SUM(BU49,BU53)</f>
        <v>1.8928101148676828</v>
      </c>
      <c r="BV55" s="907">
        <f>SUM(BV49,BV53)</f>
        <v>6.2955256131079693</v>
      </c>
      <c r="BW55" s="908" t="s">
        <v>2</v>
      </c>
      <c r="BX55" s="909">
        <f>SUM(BX49,BX53)</f>
        <v>1.9024031723900152</v>
      </c>
      <c r="BY55" s="907">
        <f>SUM(BY49,BY53)</f>
        <v>5.9352494044103352</v>
      </c>
      <c r="BZ55" s="908" t="s">
        <v>2</v>
      </c>
      <c r="CA55" s="909">
        <f>SUM(CA49,CA53)</f>
        <v>1.8881919408136443</v>
      </c>
    </row>
    <row r="56" spans="1:80" x14ac:dyDescent="0.2">
      <c r="A56" s="778"/>
      <c r="B56" s="739"/>
      <c r="C56" s="739"/>
      <c r="D56" s="739"/>
      <c r="E56" s="739"/>
      <c r="F56" s="739"/>
      <c r="G56" s="739"/>
      <c r="H56" s="739"/>
      <c r="I56" s="825"/>
      <c r="J56" s="825"/>
      <c r="K56" s="739"/>
      <c r="L56" s="825"/>
      <c r="M56" s="825"/>
      <c r="N56" s="739"/>
      <c r="O56" s="825"/>
      <c r="P56" s="825"/>
      <c r="Q56" s="739"/>
      <c r="R56" s="825"/>
      <c r="S56" s="825"/>
      <c r="T56" s="739"/>
      <c r="U56" s="825"/>
      <c r="V56" s="825"/>
      <c r="W56" s="739"/>
      <c r="X56" s="825"/>
      <c r="Y56" s="825"/>
      <c r="Z56" s="739"/>
      <c r="AA56" s="825"/>
      <c r="AB56" s="825"/>
      <c r="AC56" s="739"/>
      <c r="AD56" s="825"/>
      <c r="AE56" s="825"/>
      <c r="AF56" s="739"/>
      <c r="AG56" s="825"/>
      <c r="AH56" s="825"/>
      <c r="AI56" s="739"/>
      <c r="AJ56" s="825"/>
      <c r="AK56" s="825"/>
      <c r="AL56" s="739"/>
      <c r="AM56" s="825"/>
      <c r="AN56" s="825"/>
      <c r="AO56" s="739"/>
      <c r="AP56" s="825"/>
      <c r="AQ56" s="825"/>
      <c r="AR56" s="739"/>
      <c r="AS56" s="825"/>
      <c r="AT56" s="825"/>
      <c r="AU56" s="739"/>
      <c r="AV56" s="825"/>
      <c r="AW56" s="825"/>
      <c r="AX56" s="739"/>
      <c r="AY56" s="825"/>
      <c r="AZ56" s="825"/>
      <c r="BA56" s="739"/>
      <c r="BB56" s="825"/>
      <c r="BC56" s="825"/>
      <c r="BD56" s="739"/>
      <c r="BE56" s="825"/>
      <c r="BF56" s="825"/>
      <c r="BG56" s="739"/>
      <c r="BH56" s="825"/>
      <c r="BI56" s="825"/>
      <c r="BJ56" s="739"/>
      <c r="BK56" s="825"/>
      <c r="BL56" s="825"/>
      <c r="BM56" s="739"/>
      <c r="BN56" s="825"/>
      <c r="BO56" s="825"/>
      <c r="BP56" s="739"/>
      <c r="BQ56" s="825"/>
      <c r="BR56" s="825"/>
      <c r="BS56" s="739"/>
      <c r="BT56" s="825"/>
      <c r="BU56" s="825"/>
      <c r="BV56" s="739"/>
      <c r="BW56" s="825"/>
      <c r="BX56" s="825"/>
      <c r="BY56" s="739"/>
      <c r="BZ56" s="825"/>
      <c r="CA56" s="825"/>
    </row>
    <row r="57" spans="1:80" x14ac:dyDescent="0.2">
      <c r="A57" s="778"/>
      <c r="B57" s="778"/>
      <c r="C57" s="778"/>
      <c r="D57" s="778"/>
      <c r="E57" s="778"/>
      <c r="F57" s="778"/>
      <c r="G57" s="778"/>
      <c r="I57" s="778"/>
      <c r="L57" s="778"/>
      <c r="O57" s="778"/>
      <c r="R57" s="778"/>
      <c r="U57" s="778"/>
      <c r="X57" s="778"/>
      <c r="AA57" s="778"/>
      <c r="AD57" s="778"/>
      <c r="AG57" s="778"/>
      <c r="AJ57" s="778"/>
      <c r="AM57" s="778"/>
      <c r="AP57" s="778"/>
      <c r="AS57" s="778"/>
      <c r="AV57" s="778"/>
      <c r="AY57" s="778"/>
      <c r="BB57" s="778"/>
      <c r="BE57" s="778"/>
      <c r="BH57" s="778"/>
      <c r="BK57" s="778"/>
      <c r="BN57" s="778"/>
      <c r="BQ57" s="778"/>
      <c r="BT57" s="778"/>
      <c r="BW57" s="778"/>
      <c r="BZ57" s="778"/>
    </row>
    <row r="58" spans="1:80" x14ac:dyDescent="0.2">
      <c r="A58" s="778"/>
      <c r="B58" s="778"/>
      <c r="C58" s="778"/>
      <c r="D58" s="778"/>
      <c r="E58" s="778"/>
      <c r="F58" s="778"/>
      <c r="G58" s="778"/>
      <c r="I58" s="912"/>
      <c r="L58" s="912"/>
      <c r="O58" s="912"/>
      <c r="R58" s="912"/>
      <c r="U58" s="912"/>
      <c r="X58" s="912"/>
      <c r="AA58" s="912"/>
      <c r="AD58" s="912"/>
      <c r="AG58" s="912"/>
      <c r="AJ58" s="912"/>
      <c r="AM58" s="912"/>
      <c r="AP58" s="912"/>
      <c r="AS58" s="912"/>
      <c r="AV58" s="912"/>
      <c r="AY58" s="912"/>
      <c r="BB58" s="912"/>
      <c r="BE58" s="912"/>
      <c r="BH58" s="912"/>
      <c r="BK58" s="912"/>
      <c r="BN58" s="912"/>
      <c r="BQ58" s="912"/>
      <c r="BT58" s="912"/>
      <c r="BW58" s="912"/>
      <c r="BZ58" s="912"/>
    </row>
    <row r="59" spans="1:80" x14ac:dyDescent="0.2">
      <c r="A59" s="778"/>
      <c r="B59" s="778"/>
      <c r="C59" s="778"/>
      <c r="D59" s="778"/>
      <c r="E59" s="778"/>
      <c r="F59" s="778"/>
      <c r="G59" s="778"/>
      <c r="I59" s="912"/>
      <c r="L59" s="912"/>
      <c r="O59" s="912"/>
      <c r="R59" s="912"/>
      <c r="U59" s="912"/>
      <c r="X59" s="912"/>
      <c r="AA59" s="912"/>
      <c r="AD59" s="912"/>
      <c r="AG59" s="912"/>
      <c r="AJ59" s="912"/>
      <c r="AM59" s="912"/>
      <c r="AP59" s="912"/>
      <c r="AS59" s="912"/>
      <c r="AV59" s="912"/>
      <c r="AY59" s="912"/>
      <c r="BB59" s="912"/>
      <c r="BE59" s="912"/>
      <c r="BH59" s="912"/>
      <c r="BK59" s="912"/>
      <c r="BN59" s="912"/>
      <c r="BQ59" s="912"/>
      <c r="BT59" s="912"/>
      <c r="BW59" s="912"/>
      <c r="BZ59" s="912"/>
    </row>
    <row r="60" spans="1:80" x14ac:dyDescent="0.2">
      <c r="A60" s="778"/>
      <c r="B60" s="778"/>
      <c r="C60" s="778"/>
      <c r="D60" s="778"/>
      <c r="E60" s="970"/>
      <c r="F60" s="778"/>
      <c r="G60" s="778"/>
      <c r="I60" s="912"/>
      <c r="L60" s="912"/>
      <c r="O60" s="912"/>
      <c r="R60" s="912"/>
      <c r="U60" s="912"/>
      <c r="X60" s="912"/>
      <c r="AA60" s="912"/>
      <c r="AD60" s="912"/>
      <c r="AG60" s="912"/>
      <c r="AJ60" s="912"/>
      <c r="AM60" s="912"/>
      <c r="AP60" s="912"/>
      <c r="AS60" s="912"/>
      <c r="AV60" s="912"/>
      <c r="AY60" s="912"/>
      <c r="BB60" s="912"/>
      <c r="BE60" s="912"/>
      <c r="BH60" s="912"/>
      <c r="BK60" s="912"/>
      <c r="BN60" s="912"/>
      <c r="BQ60" s="912"/>
      <c r="BT60" s="912"/>
      <c r="BW60" s="912"/>
      <c r="BZ60" s="912"/>
    </row>
    <row r="61" spans="1:80" x14ac:dyDescent="0.2">
      <c r="A61" s="778"/>
      <c r="B61" s="778"/>
      <c r="C61" s="778"/>
      <c r="D61" s="778"/>
      <c r="E61" s="778"/>
      <c r="F61" s="778"/>
      <c r="G61" s="778"/>
      <c r="I61" s="778"/>
      <c r="L61" s="778"/>
      <c r="O61" s="778"/>
      <c r="R61" s="778"/>
      <c r="U61" s="778"/>
      <c r="X61" s="778"/>
      <c r="AA61" s="778"/>
      <c r="AD61" s="778"/>
      <c r="AG61" s="778"/>
      <c r="AJ61" s="778"/>
      <c r="AM61" s="778"/>
      <c r="AP61" s="778"/>
      <c r="AS61" s="778"/>
      <c r="AV61" s="778"/>
      <c r="AY61" s="778"/>
      <c r="BB61" s="778"/>
      <c r="BE61" s="778"/>
      <c r="BH61" s="778"/>
      <c r="BK61" s="778"/>
      <c r="BN61" s="778"/>
      <c r="BQ61" s="778"/>
      <c r="BT61" s="778"/>
      <c r="BW61" s="778"/>
      <c r="BZ61" s="778"/>
    </row>
    <row r="64" spans="1:80" x14ac:dyDescent="0.2">
      <c r="I64" s="912"/>
      <c r="L64" s="912"/>
      <c r="O64" s="912"/>
      <c r="R64" s="912"/>
      <c r="U64" s="912"/>
      <c r="X64" s="912"/>
      <c r="AA64" s="912"/>
      <c r="AD64" s="912"/>
      <c r="AG64" s="912"/>
      <c r="AJ64" s="912"/>
      <c r="AM64" s="912"/>
      <c r="AP64" s="912"/>
      <c r="AS64" s="912"/>
      <c r="AV64" s="912"/>
      <c r="AY64" s="912"/>
      <c r="BB64" s="912"/>
      <c r="BE64" s="912"/>
      <c r="BH64" s="912"/>
      <c r="BK64" s="912"/>
      <c r="BN64" s="912"/>
      <c r="BQ64" s="912"/>
      <c r="BT64" s="912"/>
      <c r="BW64" s="912"/>
      <c r="BZ64" s="912"/>
    </row>
    <row r="65" spans="1:78" x14ac:dyDescent="0.2">
      <c r="I65" s="912"/>
      <c r="L65" s="912"/>
      <c r="O65" s="912"/>
      <c r="R65" s="912"/>
      <c r="U65" s="912"/>
      <c r="X65" s="912"/>
      <c r="AA65" s="912"/>
      <c r="AD65" s="912"/>
      <c r="AG65" s="912"/>
      <c r="AJ65" s="912"/>
      <c r="AM65" s="912"/>
      <c r="AP65" s="912"/>
      <c r="AS65" s="912"/>
      <c r="AV65" s="912"/>
      <c r="AY65" s="912"/>
      <c r="BB65" s="912"/>
      <c r="BE65" s="912"/>
      <c r="BH65" s="912"/>
      <c r="BK65" s="912"/>
      <c r="BN65" s="912"/>
      <c r="BQ65" s="912"/>
      <c r="BT65" s="912"/>
      <c r="BW65" s="912"/>
      <c r="BZ65" s="912"/>
    </row>
    <row r="66" spans="1:78" x14ac:dyDescent="0.2">
      <c r="I66" s="912"/>
      <c r="L66" s="912"/>
      <c r="O66" s="912"/>
      <c r="R66" s="912"/>
      <c r="U66" s="912"/>
      <c r="X66" s="912"/>
      <c r="AA66" s="912"/>
      <c r="AD66" s="912"/>
      <c r="AG66" s="912"/>
      <c r="AJ66" s="912"/>
      <c r="AM66" s="912"/>
      <c r="AP66" s="912"/>
      <c r="AS66" s="912"/>
      <c r="AV66" s="912"/>
      <c r="AY66" s="912"/>
      <c r="BB66" s="912"/>
      <c r="BE66" s="912"/>
      <c r="BH66" s="912"/>
      <c r="BK66" s="912"/>
      <c r="BN66" s="912"/>
      <c r="BQ66" s="912"/>
      <c r="BT66" s="912"/>
      <c r="BW66" s="912"/>
      <c r="BZ66" s="912"/>
    </row>
    <row r="67" spans="1:78" x14ac:dyDescent="0.2">
      <c r="E67" s="2314"/>
      <c r="F67" s="2314"/>
      <c r="G67" s="2314"/>
      <c r="I67" s="912"/>
      <c r="L67" s="912"/>
      <c r="O67" s="912"/>
      <c r="R67" s="912"/>
      <c r="U67" s="912"/>
      <c r="X67" s="912"/>
      <c r="AA67" s="912"/>
      <c r="AD67" s="912"/>
      <c r="AG67" s="912"/>
      <c r="AJ67" s="912"/>
      <c r="AM67" s="912"/>
      <c r="AP67" s="912"/>
      <c r="AS67" s="912"/>
      <c r="AV67" s="912"/>
      <c r="AY67" s="912"/>
      <c r="BB67" s="912"/>
      <c r="BE67" s="912"/>
      <c r="BH67" s="912"/>
      <c r="BK67" s="912"/>
      <c r="BN67" s="912"/>
      <c r="BQ67" s="912"/>
      <c r="BT67" s="912"/>
      <c r="BW67" s="912"/>
      <c r="BZ67" s="912"/>
    </row>
    <row r="68" spans="1:78" x14ac:dyDescent="0.2">
      <c r="E68" s="2315"/>
      <c r="F68" s="2315"/>
      <c r="G68" s="2315"/>
      <c r="I68" s="912"/>
      <c r="L68" s="912"/>
      <c r="O68" s="912"/>
      <c r="R68" s="912"/>
      <c r="U68" s="912"/>
      <c r="X68" s="912"/>
      <c r="AA68" s="912"/>
      <c r="AD68" s="912"/>
      <c r="AG68" s="912"/>
      <c r="AJ68" s="912"/>
      <c r="AM68" s="912"/>
      <c r="AP68" s="912"/>
      <c r="AS68" s="912"/>
      <c r="AV68" s="912"/>
      <c r="AY68" s="912"/>
      <c r="BB68" s="912"/>
      <c r="BE68" s="912"/>
      <c r="BH68" s="912"/>
      <c r="BK68" s="912"/>
      <c r="BN68" s="912"/>
      <c r="BQ68" s="912"/>
      <c r="BT68" s="912"/>
      <c r="BW68" s="912"/>
      <c r="BZ68" s="912"/>
    </row>
    <row r="69" spans="1:78" x14ac:dyDescent="0.2">
      <c r="E69" s="2315"/>
      <c r="F69" s="2315"/>
      <c r="G69" s="2315"/>
      <c r="I69" s="912"/>
      <c r="L69" s="912"/>
      <c r="O69" s="912"/>
      <c r="R69" s="912"/>
      <c r="U69" s="912"/>
      <c r="X69" s="912"/>
      <c r="AA69" s="912"/>
      <c r="AD69" s="912"/>
      <c r="AG69" s="912"/>
      <c r="AJ69" s="912"/>
      <c r="AM69" s="912"/>
      <c r="AP69" s="912"/>
      <c r="AS69" s="912"/>
      <c r="AV69" s="912"/>
      <c r="AY69" s="912"/>
      <c r="BB69" s="912"/>
      <c r="BE69" s="912"/>
      <c r="BH69" s="912"/>
      <c r="BK69" s="912"/>
      <c r="BN69" s="912"/>
      <c r="BQ69" s="912"/>
      <c r="BT69" s="912"/>
      <c r="BW69" s="912"/>
      <c r="BZ69" s="912"/>
    </row>
    <row r="70" spans="1:78" x14ac:dyDescent="0.2">
      <c r="E70" s="2315"/>
      <c r="F70" s="2315"/>
      <c r="G70" s="2315"/>
      <c r="I70" s="911"/>
      <c r="L70" s="911"/>
      <c r="O70" s="911"/>
      <c r="R70" s="911"/>
      <c r="U70" s="911"/>
      <c r="X70" s="911"/>
      <c r="AA70" s="911"/>
      <c r="AD70" s="911"/>
      <c r="AG70" s="911"/>
      <c r="AJ70" s="911"/>
      <c r="AM70" s="911"/>
      <c r="AP70" s="911"/>
      <c r="AS70" s="911"/>
      <c r="AV70" s="911"/>
      <c r="AY70" s="911"/>
      <c r="BB70" s="911"/>
      <c r="BE70" s="911"/>
      <c r="BH70" s="911"/>
      <c r="BK70" s="911"/>
      <c r="BN70" s="911"/>
      <c r="BQ70" s="911"/>
      <c r="BT70" s="911"/>
      <c r="BW70" s="911"/>
      <c r="BZ70" s="911"/>
    </row>
    <row r="71" spans="1:78" x14ac:dyDescent="0.2">
      <c r="E71" s="2315"/>
      <c r="F71" s="2315"/>
      <c r="G71" s="2315"/>
      <c r="I71" s="912"/>
      <c r="L71" s="912"/>
      <c r="O71" s="912"/>
      <c r="R71" s="912"/>
      <c r="U71" s="912"/>
      <c r="X71" s="912"/>
      <c r="AA71" s="912"/>
      <c r="AD71" s="912"/>
      <c r="AG71" s="912"/>
      <c r="AJ71" s="912"/>
      <c r="AM71" s="912"/>
      <c r="AP71" s="912"/>
      <c r="AS71" s="912"/>
      <c r="AV71" s="912"/>
      <c r="AY71" s="912"/>
      <c r="BB71" s="912"/>
      <c r="BE71" s="912"/>
      <c r="BH71" s="912"/>
      <c r="BK71" s="912"/>
      <c r="BN71" s="912"/>
      <c r="BQ71" s="912"/>
      <c r="BT71" s="912"/>
      <c r="BW71" s="912"/>
      <c r="BZ71" s="912"/>
    </row>
    <row r="72" spans="1:78" x14ac:dyDescent="0.2">
      <c r="C72" s="971"/>
      <c r="D72" s="971"/>
      <c r="E72" s="2315"/>
      <c r="F72" s="2315"/>
      <c r="G72" s="2315"/>
      <c r="I72" s="912"/>
      <c r="L72" s="912"/>
      <c r="O72" s="912"/>
      <c r="R72" s="912"/>
      <c r="U72" s="912"/>
      <c r="X72" s="912"/>
      <c r="AA72" s="912"/>
      <c r="AD72" s="912"/>
      <c r="AG72" s="912"/>
      <c r="AJ72" s="912"/>
      <c r="AM72" s="912"/>
      <c r="AP72" s="912"/>
      <c r="AS72" s="912"/>
      <c r="AV72" s="912"/>
      <c r="AY72" s="912"/>
      <c r="BB72" s="912"/>
      <c r="BE72" s="912"/>
      <c r="BH72" s="912"/>
      <c r="BK72" s="912"/>
      <c r="BN72" s="912"/>
      <c r="BQ72" s="912"/>
      <c r="BT72" s="912"/>
      <c r="BW72" s="912"/>
      <c r="BZ72" s="912"/>
    </row>
    <row r="73" spans="1:78" x14ac:dyDescent="0.2">
      <c r="C73" s="971"/>
      <c r="D73" s="971"/>
      <c r="E73" s="2315"/>
      <c r="F73" s="2315"/>
      <c r="G73" s="2315"/>
      <c r="I73" s="912"/>
      <c r="L73" s="912"/>
      <c r="O73" s="912"/>
      <c r="R73" s="912"/>
      <c r="U73" s="912"/>
      <c r="X73" s="912"/>
      <c r="AA73" s="912"/>
      <c r="AD73" s="912"/>
      <c r="AG73" s="912"/>
      <c r="AJ73" s="912"/>
      <c r="AM73" s="912"/>
      <c r="AP73" s="912"/>
      <c r="AS73" s="912"/>
      <c r="AV73" s="912"/>
      <c r="AY73" s="912"/>
      <c r="BB73" s="912"/>
      <c r="BE73" s="912"/>
      <c r="BH73" s="912"/>
      <c r="BK73" s="912"/>
      <c r="BN73" s="912"/>
      <c r="BQ73" s="912"/>
      <c r="BT73" s="912"/>
      <c r="BW73" s="912"/>
      <c r="BZ73" s="912"/>
    </row>
    <row r="74" spans="1:78" x14ac:dyDescent="0.2">
      <c r="C74" s="971"/>
      <c r="D74" s="971"/>
      <c r="E74" s="971"/>
      <c r="F74" s="971"/>
      <c r="I74" s="912"/>
      <c r="L74" s="912"/>
      <c r="O74" s="912"/>
      <c r="R74" s="912"/>
      <c r="U74" s="912"/>
      <c r="X74" s="912"/>
      <c r="AA74" s="912"/>
      <c r="AD74" s="912"/>
      <c r="AG74" s="912"/>
      <c r="AJ74" s="912"/>
      <c r="AM74" s="912"/>
      <c r="AP74" s="912"/>
      <c r="AS74" s="912"/>
      <c r="AV74" s="912"/>
      <c r="AY74" s="912"/>
      <c r="BB74" s="912"/>
      <c r="BE74" s="912"/>
      <c r="BH74" s="912"/>
      <c r="BK74" s="912"/>
      <c r="BN74" s="912"/>
      <c r="BQ74" s="912"/>
      <c r="BT74" s="912"/>
      <c r="BW74" s="912"/>
      <c r="BZ74" s="912"/>
    </row>
    <row r="75" spans="1:78" x14ac:dyDescent="0.2">
      <c r="D75" s="971"/>
      <c r="E75" s="971"/>
      <c r="F75" s="971"/>
      <c r="I75" s="912"/>
      <c r="L75" s="912"/>
      <c r="O75" s="912"/>
      <c r="R75" s="912"/>
      <c r="U75" s="912"/>
      <c r="X75" s="912"/>
      <c r="AA75" s="912"/>
      <c r="AD75" s="912"/>
      <c r="AG75" s="912"/>
      <c r="AJ75" s="912"/>
      <c r="AM75" s="912"/>
      <c r="AP75" s="912"/>
      <c r="AS75" s="912"/>
      <c r="AV75" s="912"/>
      <c r="AY75" s="912"/>
      <c r="BB75" s="912"/>
      <c r="BE75" s="912"/>
      <c r="BH75" s="912"/>
      <c r="BK75" s="912"/>
      <c r="BN75" s="912"/>
      <c r="BQ75" s="912"/>
      <c r="BT75" s="912"/>
      <c r="BW75" s="912"/>
      <c r="BZ75" s="912"/>
    </row>
    <row r="76" spans="1:78" x14ac:dyDescent="0.2">
      <c r="C76" s="971"/>
      <c r="E76" s="778"/>
      <c r="F76" s="778"/>
      <c r="G76" s="778"/>
      <c r="I76" s="912"/>
      <c r="L76" s="912"/>
      <c r="O76" s="912"/>
      <c r="R76" s="912"/>
      <c r="U76" s="912"/>
      <c r="X76" s="912"/>
      <c r="AA76" s="912"/>
      <c r="AD76" s="912"/>
      <c r="AG76" s="912"/>
      <c r="AJ76" s="912"/>
      <c r="AM76" s="912"/>
      <c r="AP76" s="912"/>
      <c r="AS76" s="912"/>
      <c r="AV76" s="912"/>
      <c r="AY76" s="912"/>
      <c r="BB76" s="912"/>
      <c r="BE76" s="912"/>
      <c r="BH76" s="912"/>
      <c r="BK76" s="912"/>
      <c r="BN76" s="912"/>
      <c r="BQ76" s="912"/>
      <c r="BT76" s="912"/>
      <c r="BW76" s="912"/>
      <c r="BZ76" s="912"/>
    </row>
    <row r="77" spans="1:78" x14ac:dyDescent="0.2">
      <c r="E77" s="778"/>
      <c r="F77" s="778"/>
      <c r="G77" s="778"/>
      <c r="I77" s="912"/>
      <c r="L77" s="912"/>
      <c r="O77" s="912"/>
      <c r="R77" s="912"/>
      <c r="U77" s="912"/>
      <c r="X77" s="912"/>
      <c r="AA77" s="912"/>
      <c r="AD77" s="912"/>
      <c r="AG77" s="912"/>
      <c r="AJ77" s="912"/>
      <c r="AM77" s="912"/>
      <c r="AP77" s="912"/>
      <c r="AS77" s="912"/>
      <c r="AV77" s="912"/>
      <c r="AY77" s="912"/>
      <c r="BB77" s="912"/>
      <c r="BE77" s="912"/>
      <c r="BH77" s="912"/>
      <c r="BK77" s="912"/>
      <c r="BN77" s="912"/>
      <c r="BQ77" s="912"/>
      <c r="BT77" s="912"/>
      <c r="BW77" s="912"/>
      <c r="BZ77" s="912"/>
    </row>
    <row r="78" spans="1:78" x14ac:dyDescent="0.2">
      <c r="E78" s="778"/>
      <c r="F78" s="778"/>
      <c r="G78" s="778"/>
      <c r="I78" s="912"/>
      <c r="L78" s="912"/>
      <c r="O78" s="912"/>
      <c r="R78" s="912"/>
      <c r="U78" s="912"/>
      <c r="X78" s="912"/>
      <c r="AA78" s="912"/>
      <c r="AD78" s="912"/>
      <c r="AG78" s="912"/>
      <c r="AJ78" s="912"/>
      <c r="AM78" s="912"/>
      <c r="AP78" s="912"/>
      <c r="AS78" s="912"/>
      <c r="AV78" s="912"/>
      <c r="AY78" s="912"/>
      <c r="BB78" s="912"/>
      <c r="BE78" s="912"/>
      <c r="BH78" s="912"/>
      <c r="BK78" s="912"/>
      <c r="BN78" s="912"/>
      <c r="BQ78" s="912"/>
      <c r="BT78" s="912"/>
      <c r="BW78" s="912"/>
      <c r="BZ78" s="912"/>
    </row>
    <row r="79" spans="1:78" x14ac:dyDescent="0.2">
      <c r="A79" s="972"/>
      <c r="B79" s="972"/>
      <c r="C79" s="972"/>
      <c r="D79" s="972"/>
      <c r="E79" s="970"/>
      <c r="F79" s="778"/>
      <c r="G79" s="778"/>
    </row>
    <row r="80" spans="1:78" x14ac:dyDescent="0.2">
      <c r="A80" s="972"/>
      <c r="B80" s="972"/>
      <c r="C80" s="972"/>
      <c r="D80" s="972"/>
      <c r="E80" s="778"/>
      <c r="F80" s="778"/>
      <c r="G80" s="778"/>
    </row>
    <row r="86" spans="5:78" x14ac:dyDescent="0.2">
      <c r="E86" s="2314"/>
      <c r="F86" s="2314"/>
      <c r="G86" s="2314"/>
    </row>
    <row r="87" spans="5:78" x14ac:dyDescent="0.2">
      <c r="E87" s="2315"/>
      <c r="F87" s="2315"/>
      <c r="G87" s="2315"/>
      <c r="I87" s="911"/>
      <c r="L87" s="911"/>
      <c r="O87" s="911"/>
      <c r="R87" s="911"/>
      <c r="U87" s="911"/>
      <c r="X87" s="911"/>
      <c r="AA87" s="911"/>
      <c r="AD87" s="911"/>
      <c r="AG87" s="911"/>
      <c r="AJ87" s="911"/>
      <c r="AM87" s="911"/>
      <c r="AP87" s="911"/>
      <c r="AS87" s="911"/>
      <c r="AV87" s="911"/>
      <c r="AY87" s="911"/>
      <c r="BB87" s="911"/>
      <c r="BE87" s="911"/>
      <c r="BH87" s="911"/>
      <c r="BK87" s="911"/>
      <c r="BN87" s="911"/>
      <c r="BQ87" s="911"/>
      <c r="BT87" s="911"/>
      <c r="BW87" s="911"/>
      <c r="BZ87" s="911"/>
    </row>
    <row r="88" spans="5:78" x14ac:dyDescent="0.2">
      <c r="E88" s="2315"/>
      <c r="F88" s="2315"/>
      <c r="G88" s="2315"/>
      <c r="I88" s="911"/>
      <c r="L88" s="911"/>
      <c r="O88" s="911"/>
      <c r="R88" s="911"/>
      <c r="U88" s="911"/>
      <c r="X88" s="911"/>
      <c r="AA88" s="911"/>
      <c r="AD88" s="911"/>
      <c r="AG88" s="911"/>
      <c r="AJ88" s="911"/>
      <c r="AM88" s="911"/>
      <c r="AP88" s="911"/>
      <c r="AS88" s="911"/>
      <c r="AV88" s="911"/>
      <c r="AY88" s="911"/>
      <c r="BB88" s="911"/>
      <c r="BE88" s="911"/>
      <c r="BH88" s="911"/>
      <c r="BK88" s="911"/>
      <c r="BN88" s="911"/>
      <c r="BQ88" s="911"/>
      <c r="BT88" s="911"/>
      <c r="BW88" s="911"/>
      <c r="BZ88" s="911"/>
    </row>
    <row r="89" spans="5:78" x14ac:dyDescent="0.2">
      <c r="E89" s="2315"/>
      <c r="F89" s="2315"/>
      <c r="G89" s="2315"/>
      <c r="I89" s="911"/>
      <c r="L89" s="911"/>
      <c r="O89" s="911"/>
      <c r="R89" s="911"/>
      <c r="U89" s="911"/>
      <c r="X89" s="911"/>
      <c r="AA89" s="911"/>
      <c r="AD89" s="911"/>
      <c r="AG89" s="911"/>
      <c r="AJ89" s="911"/>
      <c r="AM89" s="911"/>
      <c r="AP89" s="911"/>
      <c r="AS89" s="911"/>
      <c r="AV89" s="911"/>
      <c r="AY89" s="911"/>
      <c r="BB89" s="911"/>
      <c r="BE89" s="911"/>
      <c r="BH89" s="911"/>
      <c r="BK89" s="911"/>
      <c r="BN89" s="911"/>
      <c r="BQ89" s="911"/>
      <c r="BT89" s="911"/>
      <c r="BW89" s="911"/>
      <c r="BZ89" s="911"/>
    </row>
    <row r="90" spans="5:78" x14ac:dyDescent="0.2">
      <c r="E90" s="2315"/>
      <c r="F90" s="2315"/>
      <c r="G90" s="2315"/>
    </row>
    <row r="91" spans="5:78" x14ac:dyDescent="0.2">
      <c r="E91" s="2315"/>
      <c r="F91" s="2315"/>
      <c r="G91" s="2315"/>
    </row>
    <row r="92" spans="5:78" x14ac:dyDescent="0.2">
      <c r="E92" s="2315"/>
      <c r="F92" s="2315"/>
      <c r="G92" s="2315"/>
    </row>
  </sheetData>
  <mergeCells count="102">
    <mergeCell ref="B53:G53"/>
    <mergeCell ref="E67:G67"/>
    <mergeCell ref="E68:G68"/>
    <mergeCell ref="E69:G69"/>
    <mergeCell ref="E70:G70"/>
    <mergeCell ref="E89:G89"/>
    <mergeCell ref="E90:G90"/>
    <mergeCell ref="E91:G91"/>
    <mergeCell ref="E92:G92"/>
    <mergeCell ref="E71:G71"/>
    <mergeCell ref="E72:G72"/>
    <mergeCell ref="E73:G73"/>
    <mergeCell ref="E86:G86"/>
    <mergeCell ref="E87:G87"/>
    <mergeCell ref="E88:G88"/>
    <mergeCell ref="A40:C40"/>
    <mergeCell ref="A41:C41"/>
    <mergeCell ref="A42:C42"/>
    <mergeCell ref="A43:C43"/>
    <mergeCell ref="A44:C44"/>
    <mergeCell ref="A45:G45"/>
    <mergeCell ref="E48:F48"/>
    <mergeCell ref="B49:G49"/>
    <mergeCell ref="E52:F52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25:C26"/>
    <mergeCell ref="D25:G25"/>
    <mergeCell ref="D26:G26"/>
    <mergeCell ref="E27:F27"/>
    <mergeCell ref="E28:F28"/>
    <mergeCell ref="A29:C29"/>
    <mergeCell ref="D29:E29"/>
    <mergeCell ref="F29:G29"/>
    <mergeCell ref="A30:C30"/>
    <mergeCell ref="A21:B22"/>
    <mergeCell ref="C21:C22"/>
    <mergeCell ref="D21:E21"/>
    <mergeCell ref="F21:G22"/>
    <mergeCell ref="D22:E22"/>
    <mergeCell ref="A23:B24"/>
    <mergeCell ref="C23:C24"/>
    <mergeCell ref="D23:E23"/>
    <mergeCell ref="F23:G24"/>
    <mergeCell ref="D24:E24"/>
    <mergeCell ref="A14:B20"/>
    <mergeCell ref="C14:C20"/>
    <mergeCell ref="D14:E16"/>
    <mergeCell ref="F14:G14"/>
    <mergeCell ref="F15:G15"/>
    <mergeCell ref="F16:G16"/>
    <mergeCell ref="D17:E19"/>
    <mergeCell ref="F17:G17"/>
    <mergeCell ref="F18:G18"/>
    <mergeCell ref="F19:G19"/>
    <mergeCell ref="D20:G20"/>
    <mergeCell ref="A7:B13"/>
    <mergeCell ref="C7:C13"/>
    <mergeCell ref="D7:E9"/>
    <mergeCell ref="F7:G7"/>
    <mergeCell ref="F8:G8"/>
    <mergeCell ref="F9:G9"/>
    <mergeCell ref="D10:E12"/>
    <mergeCell ref="F10:G10"/>
    <mergeCell ref="F11:G11"/>
    <mergeCell ref="F12:G12"/>
    <mergeCell ref="D13:G13"/>
    <mergeCell ref="BG4:BI4"/>
    <mergeCell ref="BJ4:BL4"/>
    <mergeCell ref="BM4:BO4"/>
    <mergeCell ref="BP4:BR4"/>
    <mergeCell ref="BS4:BU4"/>
    <mergeCell ref="BV4:BX4"/>
    <mergeCell ref="BY4:CA4"/>
    <mergeCell ref="A5:B6"/>
    <mergeCell ref="C5:C6"/>
    <mergeCell ref="D5:G6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A4:G4"/>
    <mergeCell ref="H4:J4"/>
    <mergeCell ref="K4:M4"/>
    <mergeCell ref="N4:P4"/>
    <mergeCell ref="Q4:S4"/>
    <mergeCell ref="T4:V4"/>
    <mergeCell ref="W4:Y4"/>
    <mergeCell ref="Z4:AB4"/>
    <mergeCell ref="AC4:AE4"/>
  </mergeCells>
  <conditionalFormatting sqref="I32:J32">
    <cfRule type="cellIs" dxfId="508" priority="120" stopIfTrue="1" operator="lessThan">
      <formula>0</formula>
    </cfRule>
  </conditionalFormatting>
  <conditionalFormatting sqref="I33:J37">
    <cfRule type="cellIs" dxfId="507" priority="119" stopIfTrue="1" operator="lessThan">
      <formula>0</formula>
    </cfRule>
  </conditionalFormatting>
  <conditionalFormatting sqref="I39:J44">
    <cfRule type="cellIs" dxfId="506" priority="118" stopIfTrue="1" operator="lessThan">
      <formula>0</formula>
    </cfRule>
  </conditionalFormatting>
  <conditionalFormatting sqref="L32:M32">
    <cfRule type="cellIs" dxfId="505" priority="117" stopIfTrue="1" operator="lessThan">
      <formula>0</formula>
    </cfRule>
  </conditionalFormatting>
  <conditionalFormatting sqref="L33:M37">
    <cfRule type="cellIs" dxfId="504" priority="116" stopIfTrue="1" operator="lessThan">
      <formula>0</formula>
    </cfRule>
  </conditionalFormatting>
  <conditionalFormatting sqref="L39:M44">
    <cfRule type="cellIs" dxfId="503" priority="115" stopIfTrue="1" operator="lessThan">
      <formula>0</formula>
    </cfRule>
  </conditionalFormatting>
  <conditionalFormatting sqref="O32:P32">
    <cfRule type="cellIs" dxfId="502" priority="114" stopIfTrue="1" operator="lessThan">
      <formula>0</formula>
    </cfRule>
  </conditionalFormatting>
  <conditionalFormatting sqref="O33:P37">
    <cfRule type="cellIs" dxfId="501" priority="113" stopIfTrue="1" operator="lessThan">
      <formula>0</formula>
    </cfRule>
  </conditionalFormatting>
  <conditionalFormatting sqref="O39:P44">
    <cfRule type="cellIs" dxfId="500" priority="112" stopIfTrue="1" operator="lessThan">
      <formula>0</formula>
    </cfRule>
  </conditionalFormatting>
  <conditionalFormatting sqref="R32:S32">
    <cfRule type="cellIs" dxfId="499" priority="111" stopIfTrue="1" operator="lessThan">
      <formula>0</formula>
    </cfRule>
  </conditionalFormatting>
  <conditionalFormatting sqref="R33:S37">
    <cfRule type="cellIs" dxfId="498" priority="110" stopIfTrue="1" operator="lessThan">
      <formula>0</formula>
    </cfRule>
  </conditionalFormatting>
  <conditionalFormatting sqref="R39:S44">
    <cfRule type="cellIs" dxfId="497" priority="109" stopIfTrue="1" operator="lessThan">
      <formula>0</formula>
    </cfRule>
  </conditionalFormatting>
  <conditionalFormatting sqref="U32:V32">
    <cfRule type="cellIs" dxfId="496" priority="108" stopIfTrue="1" operator="lessThan">
      <formula>0</formula>
    </cfRule>
  </conditionalFormatting>
  <conditionalFormatting sqref="U33:V37">
    <cfRule type="cellIs" dxfId="495" priority="107" stopIfTrue="1" operator="lessThan">
      <formula>0</formula>
    </cfRule>
  </conditionalFormatting>
  <conditionalFormatting sqref="U39:V44">
    <cfRule type="cellIs" dxfId="494" priority="106" stopIfTrue="1" operator="lessThan">
      <formula>0</formula>
    </cfRule>
  </conditionalFormatting>
  <conditionalFormatting sqref="X32:Y32">
    <cfRule type="cellIs" dxfId="493" priority="105" stopIfTrue="1" operator="lessThan">
      <formula>0</formula>
    </cfRule>
  </conditionalFormatting>
  <conditionalFormatting sqref="X33:Y37">
    <cfRule type="cellIs" dxfId="492" priority="104" stopIfTrue="1" operator="lessThan">
      <formula>0</formula>
    </cfRule>
  </conditionalFormatting>
  <conditionalFormatting sqref="X39:Y44">
    <cfRule type="cellIs" dxfId="491" priority="103" stopIfTrue="1" operator="lessThan">
      <formula>0</formula>
    </cfRule>
  </conditionalFormatting>
  <conditionalFormatting sqref="AA32:AB32">
    <cfRule type="cellIs" dxfId="490" priority="102" stopIfTrue="1" operator="lessThan">
      <formula>0</formula>
    </cfRule>
  </conditionalFormatting>
  <conditionalFormatting sqref="AA33:AB37">
    <cfRule type="cellIs" dxfId="489" priority="101" stopIfTrue="1" operator="lessThan">
      <formula>0</formula>
    </cfRule>
  </conditionalFormatting>
  <conditionalFormatting sqref="AA39:AB44">
    <cfRule type="cellIs" dxfId="488" priority="100" stopIfTrue="1" operator="lessThan">
      <formula>0</formula>
    </cfRule>
  </conditionalFormatting>
  <conditionalFormatting sqref="AD32:AE32">
    <cfRule type="cellIs" dxfId="487" priority="99" stopIfTrue="1" operator="lessThan">
      <formula>0</formula>
    </cfRule>
  </conditionalFormatting>
  <conditionalFormatting sqref="AD33:AE37">
    <cfRule type="cellIs" dxfId="486" priority="98" stopIfTrue="1" operator="lessThan">
      <formula>0</formula>
    </cfRule>
  </conditionalFormatting>
  <conditionalFormatting sqref="AD39:AE44">
    <cfRule type="cellIs" dxfId="485" priority="97" stopIfTrue="1" operator="lessThan">
      <formula>0</formula>
    </cfRule>
  </conditionalFormatting>
  <conditionalFormatting sqref="AG32:AH32">
    <cfRule type="cellIs" dxfId="484" priority="96" stopIfTrue="1" operator="lessThan">
      <formula>0</formula>
    </cfRule>
  </conditionalFormatting>
  <conditionalFormatting sqref="AG33:AH37">
    <cfRule type="cellIs" dxfId="483" priority="95" stopIfTrue="1" operator="lessThan">
      <formula>0</formula>
    </cfRule>
  </conditionalFormatting>
  <conditionalFormatting sqref="AG39:AH44">
    <cfRule type="cellIs" dxfId="482" priority="94" stopIfTrue="1" operator="lessThan">
      <formula>0</formula>
    </cfRule>
  </conditionalFormatting>
  <conditionalFormatting sqref="AJ32:AK32">
    <cfRule type="cellIs" dxfId="481" priority="93" stopIfTrue="1" operator="lessThan">
      <formula>0</formula>
    </cfRule>
  </conditionalFormatting>
  <conditionalFormatting sqref="AJ33:AK37">
    <cfRule type="cellIs" dxfId="480" priority="92" stopIfTrue="1" operator="lessThan">
      <formula>0</formula>
    </cfRule>
  </conditionalFormatting>
  <conditionalFormatting sqref="AJ39:AK44">
    <cfRule type="cellIs" dxfId="479" priority="91" stopIfTrue="1" operator="lessThan">
      <formula>0</formula>
    </cfRule>
  </conditionalFormatting>
  <conditionalFormatting sqref="AM32:AN32">
    <cfRule type="cellIs" dxfId="478" priority="90" stopIfTrue="1" operator="lessThan">
      <formula>0</formula>
    </cfRule>
  </conditionalFormatting>
  <conditionalFormatting sqref="AM33:AN37">
    <cfRule type="cellIs" dxfId="477" priority="89" stopIfTrue="1" operator="lessThan">
      <formula>0</formula>
    </cfRule>
  </conditionalFormatting>
  <conditionalFormatting sqref="AM39:AN44">
    <cfRule type="cellIs" dxfId="476" priority="88" stopIfTrue="1" operator="lessThan">
      <formula>0</formula>
    </cfRule>
  </conditionalFormatting>
  <conditionalFormatting sqref="AP32:AQ32">
    <cfRule type="cellIs" dxfId="475" priority="87" stopIfTrue="1" operator="lessThan">
      <formula>0</formula>
    </cfRule>
  </conditionalFormatting>
  <conditionalFormatting sqref="AP33:AQ37">
    <cfRule type="cellIs" dxfId="474" priority="86" stopIfTrue="1" operator="lessThan">
      <formula>0</formula>
    </cfRule>
  </conditionalFormatting>
  <conditionalFormatting sqref="AP39:AQ44">
    <cfRule type="cellIs" dxfId="473" priority="85" stopIfTrue="1" operator="lessThan">
      <formula>0</formula>
    </cfRule>
  </conditionalFormatting>
  <conditionalFormatting sqref="AS32:AT32">
    <cfRule type="cellIs" dxfId="472" priority="84" stopIfTrue="1" operator="lessThan">
      <formula>0</formula>
    </cfRule>
  </conditionalFormatting>
  <conditionalFormatting sqref="AS33:AT37">
    <cfRule type="cellIs" dxfId="471" priority="83" stopIfTrue="1" operator="lessThan">
      <formula>0</formula>
    </cfRule>
  </conditionalFormatting>
  <conditionalFormatting sqref="AS39:AT44">
    <cfRule type="cellIs" dxfId="470" priority="82" stopIfTrue="1" operator="lessThan">
      <formula>0</formula>
    </cfRule>
  </conditionalFormatting>
  <conditionalFormatting sqref="AV32:AW32">
    <cfRule type="cellIs" dxfId="469" priority="81" stopIfTrue="1" operator="lessThan">
      <formula>0</formula>
    </cfRule>
  </conditionalFormatting>
  <conditionalFormatting sqref="AV33:AW37">
    <cfRule type="cellIs" dxfId="468" priority="80" stopIfTrue="1" operator="lessThan">
      <formula>0</formula>
    </cfRule>
  </conditionalFormatting>
  <conditionalFormatting sqref="AV39:AW44">
    <cfRule type="cellIs" dxfId="467" priority="79" stopIfTrue="1" operator="lessThan">
      <formula>0</formula>
    </cfRule>
  </conditionalFormatting>
  <conditionalFormatting sqref="AY32:AZ32">
    <cfRule type="cellIs" dxfId="466" priority="78" stopIfTrue="1" operator="lessThan">
      <formula>0</formula>
    </cfRule>
  </conditionalFormatting>
  <conditionalFormatting sqref="AY33:AZ37">
    <cfRule type="cellIs" dxfId="465" priority="77" stopIfTrue="1" operator="lessThan">
      <formula>0</formula>
    </cfRule>
  </conditionalFormatting>
  <conditionalFormatting sqref="AY39:AZ44">
    <cfRule type="cellIs" dxfId="464" priority="76" stopIfTrue="1" operator="lessThan">
      <formula>0</formula>
    </cfRule>
  </conditionalFormatting>
  <conditionalFormatting sqref="BB32:BC32">
    <cfRule type="cellIs" dxfId="463" priority="75" stopIfTrue="1" operator="lessThan">
      <formula>0</formula>
    </cfRule>
  </conditionalFormatting>
  <conditionalFormatting sqref="BB33:BC37">
    <cfRule type="cellIs" dxfId="462" priority="74" stopIfTrue="1" operator="lessThan">
      <formula>0</formula>
    </cfRule>
  </conditionalFormatting>
  <conditionalFormatting sqref="BB39:BC44">
    <cfRule type="cellIs" dxfId="461" priority="73" stopIfTrue="1" operator="lessThan">
      <formula>0</formula>
    </cfRule>
  </conditionalFormatting>
  <conditionalFormatting sqref="BE32:BF32">
    <cfRule type="cellIs" dxfId="460" priority="72" stopIfTrue="1" operator="lessThan">
      <formula>0</formula>
    </cfRule>
  </conditionalFormatting>
  <conditionalFormatting sqref="BE33:BF37">
    <cfRule type="cellIs" dxfId="459" priority="71" stopIfTrue="1" operator="lessThan">
      <formula>0</formula>
    </cfRule>
  </conditionalFormatting>
  <conditionalFormatting sqref="BE39:BF44">
    <cfRule type="cellIs" dxfId="458" priority="70" stopIfTrue="1" operator="lessThan">
      <formula>0</formula>
    </cfRule>
  </conditionalFormatting>
  <conditionalFormatting sqref="BH32:BI32">
    <cfRule type="cellIs" dxfId="457" priority="69" stopIfTrue="1" operator="lessThan">
      <formula>0</formula>
    </cfRule>
  </conditionalFormatting>
  <conditionalFormatting sqref="BH33:BI37">
    <cfRule type="cellIs" dxfId="456" priority="68" stopIfTrue="1" operator="lessThan">
      <formula>0</formula>
    </cfRule>
  </conditionalFormatting>
  <conditionalFormatting sqref="BH39:BI44">
    <cfRule type="cellIs" dxfId="455" priority="67" stopIfTrue="1" operator="lessThan">
      <formula>0</formula>
    </cfRule>
  </conditionalFormatting>
  <conditionalFormatting sqref="BK32:BL32">
    <cfRule type="cellIs" dxfId="454" priority="66" stopIfTrue="1" operator="lessThan">
      <formula>0</formula>
    </cfRule>
  </conditionalFormatting>
  <conditionalFormatting sqref="BK33:BL37">
    <cfRule type="cellIs" dxfId="453" priority="65" stopIfTrue="1" operator="lessThan">
      <formula>0</formula>
    </cfRule>
  </conditionalFormatting>
  <conditionalFormatting sqref="BK39:BL44">
    <cfRule type="cellIs" dxfId="452" priority="64" stopIfTrue="1" operator="lessThan">
      <formula>0</formula>
    </cfRule>
  </conditionalFormatting>
  <conditionalFormatting sqref="BN32:BO32">
    <cfRule type="cellIs" dxfId="451" priority="63" stopIfTrue="1" operator="lessThan">
      <formula>0</formula>
    </cfRule>
  </conditionalFormatting>
  <conditionalFormatting sqref="BN33:BO37">
    <cfRule type="cellIs" dxfId="450" priority="62" stopIfTrue="1" operator="lessThan">
      <formula>0</formula>
    </cfRule>
  </conditionalFormatting>
  <conditionalFormatting sqref="BN39:BO44">
    <cfRule type="cellIs" dxfId="449" priority="61" stopIfTrue="1" operator="lessThan">
      <formula>0</formula>
    </cfRule>
  </conditionalFormatting>
  <conditionalFormatting sqref="BQ32:BR32">
    <cfRule type="cellIs" dxfId="448" priority="60" stopIfTrue="1" operator="lessThan">
      <formula>0</formula>
    </cfRule>
  </conditionalFormatting>
  <conditionalFormatting sqref="BQ33:BR37">
    <cfRule type="cellIs" dxfId="447" priority="59" stopIfTrue="1" operator="lessThan">
      <formula>0</formula>
    </cfRule>
  </conditionalFormatting>
  <conditionalFormatting sqref="BQ39:BR44">
    <cfRule type="cellIs" dxfId="446" priority="58" stopIfTrue="1" operator="lessThan">
      <formula>0</formula>
    </cfRule>
  </conditionalFormatting>
  <conditionalFormatting sqref="BT32:BU32">
    <cfRule type="cellIs" dxfId="445" priority="57" stopIfTrue="1" operator="lessThan">
      <formula>0</formula>
    </cfRule>
  </conditionalFormatting>
  <conditionalFormatting sqref="BT33:BU37">
    <cfRule type="cellIs" dxfId="444" priority="56" stopIfTrue="1" operator="lessThan">
      <formula>0</formula>
    </cfRule>
  </conditionalFormatting>
  <conditionalFormatting sqref="BT39:BU44">
    <cfRule type="cellIs" dxfId="443" priority="55" stopIfTrue="1" operator="lessThan">
      <formula>0</formula>
    </cfRule>
  </conditionalFormatting>
  <conditionalFormatting sqref="BW32:BX32">
    <cfRule type="cellIs" dxfId="442" priority="54" stopIfTrue="1" operator="lessThan">
      <formula>0</formula>
    </cfRule>
  </conditionalFormatting>
  <conditionalFormatting sqref="BW33:BX37">
    <cfRule type="cellIs" dxfId="441" priority="53" stopIfTrue="1" operator="lessThan">
      <formula>0</formula>
    </cfRule>
  </conditionalFormatting>
  <conditionalFormatting sqref="BW39:BX44">
    <cfRule type="cellIs" dxfId="440" priority="52" stopIfTrue="1" operator="lessThan">
      <formula>0</formula>
    </cfRule>
  </conditionalFormatting>
  <conditionalFormatting sqref="BZ32:CA32">
    <cfRule type="cellIs" dxfId="439" priority="51" stopIfTrue="1" operator="lessThan">
      <formula>0</formula>
    </cfRule>
  </conditionalFormatting>
  <conditionalFormatting sqref="BZ33:CA37">
    <cfRule type="cellIs" dxfId="438" priority="50" stopIfTrue="1" operator="lessThan">
      <formula>0</formula>
    </cfRule>
  </conditionalFormatting>
  <conditionalFormatting sqref="BZ39:CA44">
    <cfRule type="cellIs" dxfId="437" priority="49" stopIfTrue="1" operator="lessThan">
      <formula>0</formula>
    </cfRule>
  </conditionalFormatting>
  <conditionalFormatting sqref="I21:J21">
    <cfRule type="cellIs" dxfId="436" priority="48" stopIfTrue="1" operator="lessThan">
      <formula>0</formula>
    </cfRule>
  </conditionalFormatting>
  <conditionalFormatting sqref="I23:J23">
    <cfRule type="cellIs" dxfId="435" priority="47" stopIfTrue="1" operator="lessThan">
      <formula>0</formula>
    </cfRule>
  </conditionalFormatting>
  <conditionalFormatting sqref="L21:M21">
    <cfRule type="cellIs" dxfId="434" priority="46" stopIfTrue="1" operator="lessThan">
      <formula>0</formula>
    </cfRule>
  </conditionalFormatting>
  <conditionalFormatting sqref="L23:M23">
    <cfRule type="cellIs" dxfId="433" priority="45" stopIfTrue="1" operator="lessThan">
      <formula>0</formula>
    </cfRule>
  </conditionalFormatting>
  <conditionalFormatting sqref="O21:P21">
    <cfRule type="cellIs" dxfId="432" priority="44" stopIfTrue="1" operator="lessThan">
      <formula>0</formula>
    </cfRule>
  </conditionalFormatting>
  <conditionalFormatting sqref="O23:P23">
    <cfRule type="cellIs" dxfId="431" priority="43" stopIfTrue="1" operator="lessThan">
      <formula>0</formula>
    </cfRule>
  </conditionalFormatting>
  <conditionalFormatting sqref="R21:S21">
    <cfRule type="cellIs" dxfId="430" priority="42" stopIfTrue="1" operator="lessThan">
      <formula>0</formula>
    </cfRule>
  </conditionalFormatting>
  <conditionalFormatting sqref="R23:S23">
    <cfRule type="cellIs" dxfId="429" priority="41" stopIfTrue="1" operator="lessThan">
      <formula>0</formula>
    </cfRule>
  </conditionalFormatting>
  <conditionalFormatting sqref="U21:V21">
    <cfRule type="cellIs" dxfId="428" priority="40" stopIfTrue="1" operator="lessThan">
      <formula>0</formula>
    </cfRule>
  </conditionalFormatting>
  <conditionalFormatting sqref="U23:V23">
    <cfRule type="cellIs" dxfId="427" priority="39" stopIfTrue="1" operator="lessThan">
      <formula>0</formula>
    </cfRule>
  </conditionalFormatting>
  <conditionalFormatting sqref="X21:Y21">
    <cfRule type="cellIs" dxfId="426" priority="38" stopIfTrue="1" operator="lessThan">
      <formula>0</formula>
    </cfRule>
  </conditionalFormatting>
  <conditionalFormatting sqref="X23:Y23">
    <cfRule type="cellIs" dxfId="425" priority="37" stopIfTrue="1" operator="lessThan">
      <formula>0</formula>
    </cfRule>
  </conditionalFormatting>
  <conditionalFormatting sqref="AA21:AB21">
    <cfRule type="cellIs" dxfId="424" priority="36" stopIfTrue="1" operator="lessThan">
      <formula>0</formula>
    </cfRule>
  </conditionalFormatting>
  <conditionalFormatting sqref="AA23:AB23">
    <cfRule type="cellIs" dxfId="423" priority="35" stopIfTrue="1" operator="lessThan">
      <formula>0</formula>
    </cfRule>
  </conditionalFormatting>
  <conditionalFormatting sqref="AD21:AE21">
    <cfRule type="cellIs" dxfId="422" priority="34" stopIfTrue="1" operator="lessThan">
      <formula>0</formula>
    </cfRule>
  </conditionalFormatting>
  <conditionalFormatting sqref="AD23:AE23">
    <cfRule type="cellIs" dxfId="421" priority="33" stopIfTrue="1" operator="lessThan">
      <formula>0</formula>
    </cfRule>
  </conditionalFormatting>
  <conditionalFormatting sqref="AG21:AH21">
    <cfRule type="cellIs" dxfId="420" priority="32" stopIfTrue="1" operator="lessThan">
      <formula>0</formula>
    </cfRule>
  </conditionalFormatting>
  <conditionalFormatting sqref="AG23:AH23">
    <cfRule type="cellIs" dxfId="419" priority="31" stopIfTrue="1" operator="lessThan">
      <formula>0</formula>
    </cfRule>
  </conditionalFormatting>
  <conditionalFormatting sqref="AJ21:AK21">
    <cfRule type="cellIs" dxfId="418" priority="30" stopIfTrue="1" operator="lessThan">
      <formula>0</formula>
    </cfRule>
  </conditionalFormatting>
  <conditionalFormatting sqref="AJ23:AK23">
    <cfRule type="cellIs" dxfId="417" priority="29" stopIfTrue="1" operator="lessThan">
      <formula>0</formula>
    </cfRule>
  </conditionalFormatting>
  <conditionalFormatting sqref="AM21:AN21">
    <cfRule type="cellIs" dxfId="416" priority="28" stopIfTrue="1" operator="lessThan">
      <formula>0</formula>
    </cfRule>
  </conditionalFormatting>
  <conditionalFormatting sqref="AM23:AN23">
    <cfRule type="cellIs" dxfId="415" priority="27" stopIfTrue="1" operator="lessThan">
      <formula>0</formula>
    </cfRule>
  </conditionalFormatting>
  <conditionalFormatting sqref="AP21:AQ21">
    <cfRule type="cellIs" dxfId="414" priority="26" stopIfTrue="1" operator="lessThan">
      <formula>0</formula>
    </cfRule>
  </conditionalFormatting>
  <conditionalFormatting sqref="AP23:AQ23">
    <cfRule type="cellIs" dxfId="413" priority="25" stopIfTrue="1" operator="lessThan">
      <formula>0</formula>
    </cfRule>
  </conditionalFormatting>
  <conditionalFormatting sqref="AS21:AT21">
    <cfRule type="cellIs" dxfId="412" priority="24" stopIfTrue="1" operator="lessThan">
      <formula>0</formula>
    </cfRule>
  </conditionalFormatting>
  <conditionalFormatting sqref="AS23:AT23">
    <cfRule type="cellIs" dxfId="411" priority="23" stopIfTrue="1" operator="lessThan">
      <formula>0</formula>
    </cfRule>
  </conditionalFormatting>
  <conditionalFormatting sqref="AV21:AW21">
    <cfRule type="cellIs" dxfId="410" priority="22" stopIfTrue="1" operator="lessThan">
      <formula>0</formula>
    </cfRule>
  </conditionalFormatting>
  <conditionalFormatting sqref="AV23:AW23">
    <cfRule type="cellIs" dxfId="409" priority="21" stopIfTrue="1" operator="lessThan">
      <formula>0</formula>
    </cfRule>
  </conditionalFormatting>
  <conditionalFormatting sqref="AY21:AZ21">
    <cfRule type="cellIs" dxfId="408" priority="20" stopIfTrue="1" operator="lessThan">
      <formula>0</formula>
    </cfRule>
  </conditionalFormatting>
  <conditionalFormatting sqref="AY23:AZ23">
    <cfRule type="cellIs" dxfId="407" priority="19" stopIfTrue="1" operator="lessThan">
      <formula>0</formula>
    </cfRule>
  </conditionalFormatting>
  <conditionalFormatting sqref="BB21:BC21">
    <cfRule type="cellIs" dxfId="406" priority="18" stopIfTrue="1" operator="lessThan">
      <formula>0</formula>
    </cfRule>
  </conditionalFormatting>
  <conditionalFormatting sqref="BB23:BC23">
    <cfRule type="cellIs" dxfId="405" priority="17" stopIfTrue="1" operator="lessThan">
      <formula>0</formula>
    </cfRule>
  </conditionalFormatting>
  <conditionalFormatting sqref="BE21:BF21">
    <cfRule type="cellIs" dxfId="404" priority="16" stopIfTrue="1" operator="lessThan">
      <formula>0</formula>
    </cfRule>
  </conditionalFormatting>
  <conditionalFormatting sqref="BE23:BF23">
    <cfRule type="cellIs" dxfId="403" priority="15" stopIfTrue="1" operator="lessThan">
      <formula>0</formula>
    </cfRule>
  </conditionalFormatting>
  <conditionalFormatting sqref="BH21:BI21">
    <cfRule type="cellIs" dxfId="402" priority="14" stopIfTrue="1" operator="lessThan">
      <formula>0</formula>
    </cfRule>
  </conditionalFormatting>
  <conditionalFormatting sqref="BH23:BI23">
    <cfRule type="cellIs" dxfId="401" priority="13" stopIfTrue="1" operator="lessThan">
      <formula>0</formula>
    </cfRule>
  </conditionalFormatting>
  <conditionalFormatting sqref="BK21:BL21">
    <cfRule type="cellIs" dxfId="400" priority="12" stopIfTrue="1" operator="lessThan">
      <formula>0</formula>
    </cfRule>
  </conditionalFormatting>
  <conditionalFormatting sqref="BK23:BL23">
    <cfRule type="cellIs" dxfId="399" priority="11" stopIfTrue="1" operator="lessThan">
      <formula>0</formula>
    </cfRule>
  </conditionalFormatting>
  <conditionalFormatting sqref="BN21:BO21">
    <cfRule type="cellIs" dxfId="398" priority="10" stopIfTrue="1" operator="lessThan">
      <formula>0</formula>
    </cfRule>
  </conditionalFormatting>
  <conditionalFormatting sqref="BN23:BO23">
    <cfRule type="cellIs" dxfId="397" priority="9" stopIfTrue="1" operator="lessThan">
      <formula>0</formula>
    </cfRule>
  </conditionalFormatting>
  <conditionalFormatting sqref="BQ21:BR21">
    <cfRule type="cellIs" dxfId="396" priority="8" stopIfTrue="1" operator="lessThan">
      <formula>0</formula>
    </cfRule>
  </conditionalFormatting>
  <conditionalFormatting sqref="BQ23:BR23">
    <cfRule type="cellIs" dxfId="395" priority="7" stopIfTrue="1" operator="lessThan">
      <formula>0</formula>
    </cfRule>
  </conditionalFormatting>
  <conditionalFormatting sqref="BT21:BU21">
    <cfRule type="cellIs" dxfId="394" priority="6" stopIfTrue="1" operator="lessThan">
      <formula>0</formula>
    </cfRule>
  </conditionalFormatting>
  <conditionalFormatting sqref="BT23:BU23">
    <cfRule type="cellIs" dxfId="393" priority="5" stopIfTrue="1" operator="lessThan">
      <formula>0</formula>
    </cfRule>
  </conditionalFormatting>
  <conditionalFormatting sqref="BW21:BX21">
    <cfRule type="cellIs" dxfId="392" priority="4" stopIfTrue="1" operator="lessThan">
      <formula>0</formula>
    </cfRule>
  </conditionalFormatting>
  <conditionalFormatting sqref="BW23:BX23">
    <cfRule type="cellIs" dxfId="391" priority="3" stopIfTrue="1" operator="lessThan">
      <formula>0</formula>
    </cfRule>
  </conditionalFormatting>
  <conditionalFormatting sqref="BZ21:CA21">
    <cfRule type="cellIs" dxfId="390" priority="2" stopIfTrue="1" operator="lessThan">
      <formula>0</formula>
    </cfRule>
  </conditionalFormatting>
  <conditionalFormatting sqref="BZ23:CA23">
    <cfRule type="cellIs" dxfId="389" priority="1" stopIfTrue="1" operator="lessThan">
      <formula>0</formula>
    </cfRule>
  </conditionalFormatting>
  <pageMargins left="0.31496062992125984" right="0.23622047244094491" top="0.15748031496062992" bottom="0.15748031496062992" header="0.15748031496062992" footer="0.15748031496062992"/>
  <pageSetup paperSize="8" scale="90" fitToWidth="0" fitToHeight="0" orientation="landscape" r:id="rId1"/>
  <headerFooter alignWithMargins="0"/>
  <colBreaks count="2" manualBreakCount="2">
    <brk id="31" max="54" man="1"/>
    <brk id="55" max="5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D81"/>
  <sheetViews>
    <sheetView showZeros="0" view="pageBreakPreview" topLeftCell="D4" zoomScaleNormal="100" zoomScaleSheetLayoutView="100" workbookViewId="0">
      <selection activeCell="T40" sqref="T40:V41"/>
    </sheetView>
  </sheetViews>
  <sheetFormatPr defaultRowHeight="12.75" x14ac:dyDescent="0.2"/>
  <cols>
    <col min="1" max="1" width="3.28515625" style="516" customWidth="1"/>
    <col min="2" max="2" width="13.5703125" style="516" customWidth="1"/>
    <col min="3" max="3" width="8.85546875" style="516" customWidth="1"/>
    <col min="4" max="4" width="6" style="516" customWidth="1"/>
    <col min="5" max="5" width="6.140625" style="516" customWidth="1"/>
    <col min="6" max="6" width="6.42578125" style="516" customWidth="1"/>
    <col min="7" max="7" width="5" style="516" customWidth="1"/>
    <col min="8" max="8" width="8.5703125" style="516" customWidth="1"/>
    <col min="9" max="10" width="8.42578125" style="516" customWidth="1"/>
    <col min="11" max="11" width="8.7109375" style="516" customWidth="1"/>
    <col min="12" max="13" width="8" style="516" bestFit="1" customWidth="1"/>
    <col min="14" max="14" width="7.85546875" style="516" customWidth="1"/>
    <col min="15" max="16" width="8" style="516" bestFit="1" customWidth="1"/>
    <col min="17" max="17" width="7.140625" style="516" customWidth="1"/>
    <col min="18" max="18" width="8.140625" style="516" bestFit="1" customWidth="1"/>
    <col min="19" max="19" width="8" style="516" bestFit="1" customWidth="1"/>
    <col min="20" max="20" width="7.140625" style="516" customWidth="1"/>
    <col min="21" max="22" width="8" style="516" bestFit="1" customWidth="1"/>
    <col min="23" max="23" width="6.5703125" style="516" bestFit="1" customWidth="1"/>
    <col min="24" max="25" width="8" style="516" bestFit="1" customWidth="1"/>
    <col min="26" max="26" width="6.5703125" style="516" bestFit="1" customWidth="1"/>
    <col min="27" max="28" width="8" style="516" bestFit="1" customWidth="1"/>
    <col min="29" max="29" width="6.5703125" style="516" bestFit="1" customWidth="1"/>
    <col min="30" max="31" width="8" style="516" bestFit="1" customWidth="1"/>
    <col min="32" max="32" width="6.5703125" style="516" bestFit="1" customWidth="1"/>
    <col min="33" max="34" width="8" style="516" bestFit="1" customWidth="1"/>
    <col min="35" max="35" width="7.140625" style="516" customWidth="1"/>
    <col min="36" max="37" width="8" style="516" bestFit="1" customWidth="1"/>
    <col min="38" max="38" width="6.5703125" style="516" bestFit="1" customWidth="1"/>
    <col min="39" max="40" width="8" style="516" bestFit="1" customWidth="1"/>
    <col min="41" max="41" width="6.5703125" style="516" bestFit="1" customWidth="1"/>
    <col min="42" max="43" width="8" style="516" bestFit="1" customWidth="1"/>
    <col min="44" max="44" width="6.5703125" style="516" bestFit="1" customWidth="1"/>
    <col min="45" max="46" width="8" style="516" bestFit="1" customWidth="1"/>
    <col min="47" max="47" width="6.5703125" style="516" bestFit="1" customWidth="1"/>
    <col min="48" max="49" width="8" style="516" bestFit="1" customWidth="1"/>
    <col min="50" max="50" width="6.5703125" style="516" bestFit="1" customWidth="1"/>
    <col min="51" max="52" width="8" style="516" bestFit="1" customWidth="1"/>
    <col min="53" max="53" width="6.5703125" style="516" bestFit="1" customWidth="1"/>
    <col min="54" max="55" width="8" style="516" bestFit="1" customWidth="1"/>
    <col min="56" max="56" width="6.5703125" style="516" bestFit="1" customWidth="1"/>
    <col min="57" max="58" width="8" style="516" bestFit="1" customWidth="1"/>
    <col min="59" max="59" width="6.5703125" style="516" bestFit="1" customWidth="1"/>
    <col min="60" max="61" width="8" style="516" bestFit="1" customWidth="1"/>
    <col min="62" max="62" width="6.5703125" style="516" bestFit="1" customWidth="1"/>
    <col min="63" max="64" width="8" style="516" bestFit="1" customWidth="1"/>
    <col min="65" max="65" width="6.5703125" style="516" bestFit="1" customWidth="1"/>
    <col min="66" max="67" width="8" style="516" bestFit="1" customWidth="1"/>
    <col min="68" max="68" width="6.5703125" style="516" bestFit="1" customWidth="1"/>
    <col min="69" max="70" width="8" style="516" bestFit="1" customWidth="1"/>
    <col min="71" max="71" width="6.5703125" style="516" bestFit="1" customWidth="1"/>
    <col min="72" max="73" width="8" style="516" bestFit="1" customWidth="1"/>
    <col min="74" max="74" width="6.5703125" style="516" bestFit="1" customWidth="1"/>
    <col min="75" max="76" width="8" style="516" bestFit="1" customWidth="1"/>
    <col min="77" max="77" width="6.5703125" style="516" bestFit="1" customWidth="1"/>
    <col min="78" max="79" width="8" style="516" bestFit="1" customWidth="1"/>
    <col min="80" max="80" width="14.7109375" style="516" customWidth="1"/>
    <col min="81" max="81" width="11.5703125" style="516" bestFit="1" customWidth="1"/>
    <col min="82" max="16384" width="9.140625" style="516"/>
  </cols>
  <sheetData>
    <row r="1" spans="1:82" s="382" customFormat="1" ht="24" customHeight="1" x14ac:dyDescent="0.4">
      <c r="A1" s="495" t="s">
        <v>206</v>
      </c>
    </row>
    <row r="2" spans="1:82" s="382" customFormat="1" ht="24" customHeight="1" thickBot="1" x14ac:dyDescent="0.45">
      <c r="A2" s="496" t="s">
        <v>155</v>
      </c>
      <c r="C2" s="474"/>
      <c r="D2" s="474"/>
      <c r="E2" s="474"/>
      <c r="I2" s="388"/>
      <c r="L2" s="388"/>
      <c r="O2" s="388"/>
      <c r="R2" s="388"/>
      <c r="U2" s="388"/>
      <c r="X2" s="388"/>
      <c r="AA2" s="388"/>
      <c r="AD2" s="388"/>
      <c r="AG2" s="388"/>
      <c r="AJ2" s="388"/>
      <c r="AM2" s="388"/>
      <c r="AP2" s="388"/>
      <c r="AS2" s="388"/>
      <c r="AV2" s="388"/>
      <c r="AY2" s="388"/>
      <c r="BB2" s="388"/>
      <c r="BE2" s="388"/>
      <c r="BH2" s="388"/>
      <c r="BK2" s="388"/>
      <c r="BN2" s="388"/>
      <c r="BQ2" s="388"/>
      <c r="BT2" s="388"/>
      <c r="BW2" s="388"/>
      <c r="BZ2" s="388"/>
      <c r="CC2" s="707"/>
      <c r="CD2" s="388"/>
    </row>
    <row r="3" spans="1:82" ht="13.5" hidden="1" thickBot="1" x14ac:dyDescent="0.25">
      <c r="B3" s="708"/>
      <c r="C3" s="708"/>
      <c r="D3" s="708"/>
      <c r="E3" s="708"/>
      <c r="F3" s="708"/>
      <c r="G3" s="708"/>
      <c r="H3" s="708"/>
      <c r="I3" s="708"/>
      <c r="J3" s="708"/>
      <c r="K3" s="708"/>
      <c r="L3" s="708"/>
      <c r="M3" s="708"/>
      <c r="N3" s="708"/>
      <c r="O3" s="708"/>
      <c r="P3" s="708"/>
      <c r="Q3" s="708"/>
      <c r="R3" s="708"/>
      <c r="S3" s="708"/>
      <c r="T3" s="708"/>
      <c r="U3" s="708"/>
      <c r="V3" s="708"/>
      <c r="W3" s="708"/>
      <c r="X3" s="708"/>
      <c r="Y3" s="708"/>
      <c r="Z3" s="708"/>
      <c r="AA3" s="708"/>
      <c r="AB3" s="708"/>
      <c r="AC3" s="708"/>
      <c r="AD3" s="708"/>
      <c r="AE3" s="708"/>
      <c r="AF3" s="708"/>
      <c r="AG3" s="708"/>
      <c r="AH3" s="708"/>
      <c r="AI3" s="708"/>
      <c r="AJ3" s="708"/>
      <c r="AK3" s="708"/>
      <c r="AL3" s="708"/>
      <c r="AM3" s="708"/>
      <c r="AN3" s="708"/>
      <c r="AO3" s="708"/>
      <c r="AP3" s="708"/>
      <c r="AQ3" s="708"/>
      <c r="AR3" s="708"/>
      <c r="AS3" s="708"/>
      <c r="AT3" s="708"/>
      <c r="AU3" s="708"/>
      <c r="AV3" s="708"/>
      <c r="AW3" s="708"/>
      <c r="AX3" s="708"/>
      <c r="AY3" s="708"/>
      <c r="AZ3" s="708"/>
      <c r="BA3" s="708"/>
      <c r="BB3" s="708"/>
      <c r="BC3" s="708"/>
      <c r="BD3" s="708"/>
      <c r="BE3" s="708"/>
      <c r="BF3" s="708"/>
      <c r="BG3" s="708"/>
      <c r="BH3" s="708"/>
      <c r="BI3" s="708"/>
      <c r="BJ3" s="708"/>
      <c r="BK3" s="708"/>
      <c r="BL3" s="708"/>
      <c r="BM3" s="708"/>
      <c r="BN3" s="708"/>
      <c r="BO3" s="708"/>
      <c r="BP3" s="708"/>
      <c r="BQ3" s="708"/>
      <c r="BR3" s="708"/>
      <c r="BS3" s="708"/>
      <c r="BT3" s="708"/>
      <c r="BU3" s="708"/>
      <c r="BV3" s="709"/>
      <c r="BW3" s="708"/>
      <c r="BX3" s="708"/>
    </row>
    <row r="4" spans="1:82" s="501" customFormat="1" ht="16.5" customHeight="1" thickBot="1" x14ac:dyDescent="0.25">
      <c r="A4" s="2222" t="s">
        <v>12</v>
      </c>
      <c r="B4" s="2223"/>
      <c r="C4" s="2223"/>
      <c r="D4" s="2223"/>
      <c r="E4" s="2223"/>
      <c r="F4" s="2223"/>
      <c r="G4" s="2224"/>
      <c r="H4" s="2225" t="s">
        <v>156</v>
      </c>
      <c r="I4" s="2226"/>
      <c r="J4" s="2227"/>
      <c r="K4" s="2225" t="s">
        <v>157</v>
      </c>
      <c r="L4" s="2226"/>
      <c r="M4" s="2227"/>
      <c r="N4" s="2225" t="s">
        <v>158</v>
      </c>
      <c r="O4" s="2226"/>
      <c r="P4" s="2227"/>
      <c r="Q4" s="2225" t="s">
        <v>159</v>
      </c>
      <c r="R4" s="2226"/>
      <c r="S4" s="2227"/>
      <c r="T4" s="2225" t="s">
        <v>160</v>
      </c>
      <c r="U4" s="2226"/>
      <c r="V4" s="2227"/>
      <c r="W4" s="2225" t="s">
        <v>161</v>
      </c>
      <c r="X4" s="2226"/>
      <c r="Y4" s="2227"/>
      <c r="Z4" s="2225" t="s">
        <v>162</v>
      </c>
      <c r="AA4" s="2226"/>
      <c r="AB4" s="2227"/>
      <c r="AC4" s="2225" t="s">
        <v>163</v>
      </c>
      <c r="AD4" s="2226"/>
      <c r="AE4" s="2227"/>
      <c r="AF4" s="2225" t="s">
        <v>164</v>
      </c>
      <c r="AG4" s="2226"/>
      <c r="AH4" s="2227"/>
      <c r="AI4" s="2225" t="s">
        <v>165</v>
      </c>
      <c r="AJ4" s="2226"/>
      <c r="AK4" s="2227"/>
      <c r="AL4" s="2225" t="s">
        <v>166</v>
      </c>
      <c r="AM4" s="2226"/>
      <c r="AN4" s="2227"/>
      <c r="AO4" s="2225" t="s">
        <v>167</v>
      </c>
      <c r="AP4" s="2226"/>
      <c r="AQ4" s="2227"/>
      <c r="AR4" s="2225" t="s">
        <v>168</v>
      </c>
      <c r="AS4" s="2226"/>
      <c r="AT4" s="2227"/>
      <c r="AU4" s="2225" t="s">
        <v>169</v>
      </c>
      <c r="AV4" s="2226"/>
      <c r="AW4" s="2227"/>
      <c r="AX4" s="2225" t="s">
        <v>170</v>
      </c>
      <c r="AY4" s="2226"/>
      <c r="AZ4" s="2227"/>
      <c r="BA4" s="2225" t="s">
        <v>171</v>
      </c>
      <c r="BB4" s="2226"/>
      <c r="BC4" s="2227"/>
      <c r="BD4" s="2225" t="s">
        <v>172</v>
      </c>
      <c r="BE4" s="2226"/>
      <c r="BF4" s="2227"/>
      <c r="BG4" s="2225" t="s">
        <v>173</v>
      </c>
      <c r="BH4" s="2226"/>
      <c r="BI4" s="2227"/>
      <c r="BJ4" s="2225" t="s">
        <v>174</v>
      </c>
      <c r="BK4" s="2226"/>
      <c r="BL4" s="2227"/>
      <c r="BM4" s="2225" t="s">
        <v>175</v>
      </c>
      <c r="BN4" s="2226"/>
      <c r="BO4" s="2227"/>
      <c r="BP4" s="2225" t="s">
        <v>176</v>
      </c>
      <c r="BQ4" s="2226"/>
      <c r="BR4" s="2227"/>
      <c r="BS4" s="2225" t="s">
        <v>177</v>
      </c>
      <c r="BT4" s="2226"/>
      <c r="BU4" s="2227"/>
      <c r="BV4" s="2225" t="s">
        <v>178</v>
      </c>
      <c r="BW4" s="2226"/>
      <c r="BX4" s="2227"/>
      <c r="BY4" s="2225" t="s">
        <v>179</v>
      </c>
      <c r="BZ4" s="2226"/>
      <c r="CA4" s="2227"/>
      <c r="CD4" s="710"/>
    </row>
    <row r="5" spans="1:82" ht="25.5" customHeight="1" x14ac:dyDescent="0.2">
      <c r="A5" s="2228" t="s">
        <v>180</v>
      </c>
      <c r="B5" s="2229"/>
      <c r="C5" s="2232" t="s">
        <v>181</v>
      </c>
      <c r="D5" s="2234"/>
      <c r="E5" s="2235"/>
      <c r="F5" s="2235"/>
      <c r="G5" s="2236"/>
      <c r="H5" s="551" t="s">
        <v>4</v>
      </c>
      <c r="I5" s="552" t="s">
        <v>9</v>
      </c>
      <c r="J5" s="553" t="s">
        <v>10</v>
      </c>
      <c r="K5" s="551" t="s">
        <v>4</v>
      </c>
      <c r="L5" s="552" t="s">
        <v>9</v>
      </c>
      <c r="M5" s="553" t="s">
        <v>10</v>
      </c>
      <c r="N5" s="551" t="s">
        <v>4</v>
      </c>
      <c r="O5" s="552" t="s">
        <v>9</v>
      </c>
      <c r="P5" s="553" t="s">
        <v>10</v>
      </c>
      <c r="Q5" s="551" t="s">
        <v>4</v>
      </c>
      <c r="R5" s="552" t="s">
        <v>9</v>
      </c>
      <c r="S5" s="553" t="s">
        <v>10</v>
      </c>
      <c r="T5" s="551" t="s">
        <v>4</v>
      </c>
      <c r="U5" s="552" t="s">
        <v>9</v>
      </c>
      <c r="V5" s="553" t="s">
        <v>10</v>
      </c>
      <c r="W5" s="551" t="s">
        <v>4</v>
      </c>
      <c r="X5" s="552" t="s">
        <v>9</v>
      </c>
      <c r="Y5" s="553" t="s">
        <v>10</v>
      </c>
      <c r="Z5" s="551" t="s">
        <v>4</v>
      </c>
      <c r="AA5" s="552" t="s">
        <v>9</v>
      </c>
      <c r="AB5" s="553" t="s">
        <v>10</v>
      </c>
      <c r="AC5" s="551" t="s">
        <v>4</v>
      </c>
      <c r="AD5" s="552" t="s">
        <v>9</v>
      </c>
      <c r="AE5" s="553" t="s">
        <v>10</v>
      </c>
      <c r="AF5" s="551" t="s">
        <v>4</v>
      </c>
      <c r="AG5" s="552" t="s">
        <v>9</v>
      </c>
      <c r="AH5" s="553" t="s">
        <v>10</v>
      </c>
      <c r="AI5" s="551" t="s">
        <v>4</v>
      </c>
      <c r="AJ5" s="552" t="s">
        <v>9</v>
      </c>
      <c r="AK5" s="553" t="s">
        <v>10</v>
      </c>
      <c r="AL5" s="551" t="s">
        <v>4</v>
      </c>
      <c r="AM5" s="552" t="s">
        <v>9</v>
      </c>
      <c r="AN5" s="553" t="s">
        <v>10</v>
      </c>
      <c r="AO5" s="551" t="s">
        <v>4</v>
      </c>
      <c r="AP5" s="552" t="s">
        <v>9</v>
      </c>
      <c r="AQ5" s="553" t="s">
        <v>10</v>
      </c>
      <c r="AR5" s="551" t="s">
        <v>4</v>
      </c>
      <c r="AS5" s="552" t="s">
        <v>9</v>
      </c>
      <c r="AT5" s="553" t="s">
        <v>10</v>
      </c>
      <c r="AU5" s="551" t="s">
        <v>4</v>
      </c>
      <c r="AV5" s="552" t="s">
        <v>9</v>
      </c>
      <c r="AW5" s="553" t="s">
        <v>10</v>
      </c>
      <c r="AX5" s="551" t="s">
        <v>4</v>
      </c>
      <c r="AY5" s="552" t="s">
        <v>9</v>
      </c>
      <c r="AZ5" s="553" t="s">
        <v>10</v>
      </c>
      <c r="BA5" s="551" t="s">
        <v>4</v>
      </c>
      <c r="BB5" s="552" t="s">
        <v>9</v>
      </c>
      <c r="BC5" s="553" t="s">
        <v>10</v>
      </c>
      <c r="BD5" s="551" t="s">
        <v>4</v>
      </c>
      <c r="BE5" s="552" t="s">
        <v>9</v>
      </c>
      <c r="BF5" s="553" t="s">
        <v>10</v>
      </c>
      <c r="BG5" s="551" t="s">
        <v>4</v>
      </c>
      <c r="BH5" s="552" t="s">
        <v>9</v>
      </c>
      <c r="BI5" s="553" t="s">
        <v>10</v>
      </c>
      <c r="BJ5" s="551" t="s">
        <v>4</v>
      </c>
      <c r="BK5" s="552" t="s">
        <v>9</v>
      </c>
      <c r="BL5" s="553" t="s">
        <v>10</v>
      </c>
      <c r="BM5" s="551" t="s">
        <v>4</v>
      </c>
      <c r="BN5" s="552" t="s">
        <v>9</v>
      </c>
      <c r="BO5" s="553" t="s">
        <v>10</v>
      </c>
      <c r="BP5" s="551" t="s">
        <v>4</v>
      </c>
      <c r="BQ5" s="552" t="s">
        <v>9</v>
      </c>
      <c r="BR5" s="553" t="s">
        <v>10</v>
      </c>
      <c r="BS5" s="551" t="s">
        <v>4</v>
      </c>
      <c r="BT5" s="552" t="s">
        <v>9</v>
      </c>
      <c r="BU5" s="553" t="s">
        <v>10</v>
      </c>
      <c r="BV5" s="551" t="s">
        <v>4</v>
      </c>
      <c r="BW5" s="552" t="s">
        <v>9</v>
      </c>
      <c r="BX5" s="553" t="s">
        <v>10</v>
      </c>
      <c r="BY5" s="551" t="s">
        <v>4</v>
      </c>
      <c r="BZ5" s="552" t="s">
        <v>9</v>
      </c>
      <c r="CA5" s="553" t="s">
        <v>10</v>
      </c>
    </row>
    <row r="6" spans="1:82" ht="13.5" thickBot="1" x14ac:dyDescent="0.25">
      <c r="A6" s="2230"/>
      <c r="B6" s="2231"/>
      <c r="C6" s="2233"/>
      <c r="D6" s="2237"/>
      <c r="E6" s="2238"/>
      <c r="F6" s="2238"/>
      <c r="G6" s="2239"/>
      <c r="H6" s="711" t="s">
        <v>30</v>
      </c>
      <c r="I6" s="712" t="s">
        <v>31</v>
      </c>
      <c r="J6" s="713" t="s">
        <v>32</v>
      </c>
      <c r="K6" s="711" t="s">
        <v>30</v>
      </c>
      <c r="L6" s="712" t="s">
        <v>31</v>
      </c>
      <c r="M6" s="713" t="s">
        <v>32</v>
      </c>
      <c r="N6" s="711" t="s">
        <v>30</v>
      </c>
      <c r="O6" s="712" t="s">
        <v>31</v>
      </c>
      <c r="P6" s="713" t="s">
        <v>32</v>
      </c>
      <c r="Q6" s="711" t="s">
        <v>30</v>
      </c>
      <c r="R6" s="712" t="s">
        <v>31</v>
      </c>
      <c r="S6" s="713" t="s">
        <v>32</v>
      </c>
      <c r="T6" s="711" t="s">
        <v>30</v>
      </c>
      <c r="U6" s="712" t="s">
        <v>31</v>
      </c>
      <c r="V6" s="713" t="s">
        <v>32</v>
      </c>
      <c r="W6" s="711" t="s">
        <v>30</v>
      </c>
      <c r="X6" s="712" t="s">
        <v>31</v>
      </c>
      <c r="Y6" s="713" t="s">
        <v>32</v>
      </c>
      <c r="Z6" s="711" t="s">
        <v>30</v>
      </c>
      <c r="AA6" s="712" t="s">
        <v>31</v>
      </c>
      <c r="AB6" s="713" t="s">
        <v>32</v>
      </c>
      <c r="AC6" s="711" t="s">
        <v>30</v>
      </c>
      <c r="AD6" s="712" t="s">
        <v>31</v>
      </c>
      <c r="AE6" s="713" t="s">
        <v>32</v>
      </c>
      <c r="AF6" s="711" t="s">
        <v>30</v>
      </c>
      <c r="AG6" s="712" t="s">
        <v>31</v>
      </c>
      <c r="AH6" s="713" t="s">
        <v>32</v>
      </c>
      <c r="AI6" s="711" t="s">
        <v>30</v>
      </c>
      <c r="AJ6" s="712" t="s">
        <v>31</v>
      </c>
      <c r="AK6" s="713" t="s">
        <v>32</v>
      </c>
      <c r="AL6" s="711" t="s">
        <v>30</v>
      </c>
      <c r="AM6" s="712" t="s">
        <v>31</v>
      </c>
      <c r="AN6" s="713" t="s">
        <v>32</v>
      </c>
      <c r="AO6" s="711" t="s">
        <v>30</v>
      </c>
      <c r="AP6" s="712" t="s">
        <v>31</v>
      </c>
      <c r="AQ6" s="713" t="s">
        <v>32</v>
      </c>
      <c r="AR6" s="711" t="s">
        <v>30</v>
      </c>
      <c r="AS6" s="712" t="s">
        <v>31</v>
      </c>
      <c r="AT6" s="713" t="s">
        <v>32</v>
      </c>
      <c r="AU6" s="711" t="s">
        <v>30</v>
      </c>
      <c r="AV6" s="712" t="s">
        <v>31</v>
      </c>
      <c r="AW6" s="713" t="s">
        <v>32</v>
      </c>
      <c r="AX6" s="711" t="s">
        <v>30</v>
      </c>
      <c r="AY6" s="712" t="s">
        <v>31</v>
      </c>
      <c r="AZ6" s="713" t="s">
        <v>32</v>
      </c>
      <c r="BA6" s="711" t="s">
        <v>30</v>
      </c>
      <c r="BB6" s="712" t="s">
        <v>31</v>
      </c>
      <c r="BC6" s="713" t="s">
        <v>32</v>
      </c>
      <c r="BD6" s="711" t="s">
        <v>30</v>
      </c>
      <c r="BE6" s="712" t="s">
        <v>31</v>
      </c>
      <c r="BF6" s="713" t="s">
        <v>32</v>
      </c>
      <c r="BG6" s="711" t="s">
        <v>30</v>
      </c>
      <c r="BH6" s="712" t="s">
        <v>31</v>
      </c>
      <c r="BI6" s="713" t="s">
        <v>32</v>
      </c>
      <c r="BJ6" s="711" t="s">
        <v>30</v>
      </c>
      <c r="BK6" s="712" t="s">
        <v>31</v>
      </c>
      <c r="BL6" s="713" t="s">
        <v>32</v>
      </c>
      <c r="BM6" s="711" t="s">
        <v>30</v>
      </c>
      <c r="BN6" s="712" t="s">
        <v>31</v>
      </c>
      <c r="BO6" s="713" t="s">
        <v>32</v>
      </c>
      <c r="BP6" s="711" t="s">
        <v>30</v>
      </c>
      <c r="BQ6" s="712" t="s">
        <v>31</v>
      </c>
      <c r="BR6" s="713" t="s">
        <v>32</v>
      </c>
      <c r="BS6" s="711" t="s">
        <v>30</v>
      </c>
      <c r="BT6" s="712" t="s">
        <v>31</v>
      </c>
      <c r="BU6" s="713" t="s">
        <v>32</v>
      </c>
      <c r="BV6" s="711" t="s">
        <v>30</v>
      </c>
      <c r="BW6" s="712" t="s">
        <v>31</v>
      </c>
      <c r="BX6" s="713" t="s">
        <v>32</v>
      </c>
      <c r="BY6" s="711" t="s">
        <v>30</v>
      </c>
      <c r="BZ6" s="712" t="s">
        <v>31</v>
      </c>
      <c r="CA6" s="713" t="s">
        <v>32</v>
      </c>
    </row>
    <row r="7" spans="1:82" ht="15.75" customHeight="1" x14ac:dyDescent="0.2">
      <c r="A7" s="2316" t="s">
        <v>0</v>
      </c>
      <c r="B7" s="2273"/>
      <c r="C7" s="2320">
        <v>2.5</v>
      </c>
      <c r="D7" s="2316" t="s">
        <v>13</v>
      </c>
      <c r="E7" s="2273"/>
      <c r="F7" s="2323" t="s">
        <v>33</v>
      </c>
      <c r="G7" s="2324"/>
      <c r="H7" s="714" t="s">
        <v>84</v>
      </c>
      <c r="I7" s="715" t="s">
        <v>84</v>
      </c>
      <c r="J7" s="716" t="s">
        <v>84</v>
      </c>
      <c r="K7" s="714" t="s">
        <v>84</v>
      </c>
      <c r="L7" s="715" t="s">
        <v>84</v>
      </c>
      <c r="M7" s="716" t="s">
        <v>84</v>
      </c>
      <c r="N7" s="714" t="s">
        <v>84</v>
      </c>
      <c r="O7" s="715" t="s">
        <v>84</v>
      </c>
      <c r="P7" s="716" t="s">
        <v>84</v>
      </c>
      <c r="Q7" s="714" t="s">
        <v>84</v>
      </c>
      <c r="R7" s="715" t="s">
        <v>84</v>
      </c>
      <c r="S7" s="716" t="s">
        <v>84</v>
      </c>
      <c r="T7" s="714" t="s">
        <v>84</v>
      </c>
      <c r="U7" s="715" t="s">
        <v>84</v>
      </c>
      <c r="V7" s="716" t="s">
        <v>84</v>
      </c>
      <c r="W7" s="714" t="s">
        <v>84</v>
      </c>
      <c r="X7" s="715" t="s">
        <v>84</v>
      </c>
      <c r="Y7" s="716" t="s">
        <v>84</v>
      </c>
      <c r="Z7" s="714" t="s">
        <v>84</v>
      </c>
      <c r="AA7" s="715" t="s">
        <v>84</v>
      </c>
      <c r="AB7" s="716" t="s">
        <v>84</v>
      </c>
      <c r="AC7" s="714" t="s">
        <v>84</v>
      </c>
      <c r="AD7" s="715" t="s">
        <v>84</v>
      </c>
      <c r="AE7" s="716" t="s">
        <v>84</v>
      </c>
      <c r="AF7" s="714" t="s">
        <v>84</v>
      </c>
      <c r="AG7" s="715" t="s">
        <v>84</v>
      </c>
      <c r="AH7" s="716" t="s">
        <v>84</v>
      </c>
      <c r="AI7" s="714" t="s">
        <v>84</v>
      </c>
      <c r="AJ7" s="715" t="s">
        <v>84</v>
      </c>
      <c r="AK7" s="716" t="s">
        <v>84</v>
      </c>
      <c r="AL7" s="714" t="s">
        <v>84</v>
      </c>
      <c r="AM7" s="715" t="s">
        <v>84</v>
      </c>
      <c r="AN7" s="716" t="s">
        <v>84</v>
      </c>
      <c r="AO7" s="714" t="s">
        <v>84</v>
      </c>
      <c r="AP7" s="715" t="s">
        <v>84</v>
      </c>
      <c r="AQ7" s="716" t="s">
        <v>84</v>
      </c>
      <c r="AR7" s="714" t="s">
        <v>84</v>
      </c>
      <c r="AS7" s="715" t="s">
        <v>84</v>
      </c>
      <c r="AT7" s="716" t="s">
        <v>84</v>
      </c>
      <c r="AU7" s="714" t="s">
        <v>84</v>
      </c>
      <c r="AV7" s="715" t="s">
        <v>84</v>
      </c>
      <c r="AW7" s="716" t="s">
        <v>84</v>
      </c>
      <c r="AX7" s="714" t="s">
        <v>84</v>
      </c>
      <c r="AY7" s="715" t="s">
        <v>84</v>
      </c>
      <c r="AZ7" s="716" t="s">
        <v>84</v>
      </c>
      <c r="BA7" s="714" t="s">
        <v>84</v>
      </c>
      <c r="BB7" s="715" t="s">
        <v>84</v>
      </c>
      <c r="BC7" s="716" t="s">
        <v>84</v>
      </c>
      <c r="BD7" s="714" t="s">
        <v>84</v>
      </c>
      <c r="BE7" s="715" t="s">
        <v>84</v>
      </c>
      <c r="BF7" s="716" t="s">
        <v>84</v>
      </c>
      <c r="BG7" s="714" t="s">
        <v>84</v>
      </c>
      <c r="BH7" s="715" t="s">
        <v>84</v>
      </c>
      <c r="BI7" s="716" t="s">
        <v>84</v>
      </c>
      <c r="BJ7" s="714" t="s">
        <v>84</v>
      </c>
      <c r="BK7" s="715" t="s">
        <v>84</v>
      </c>
      <c r="BL7" s="716" t="s">
        <v>84</v>
      </c>
      <c r="BM7" s="714" t="s">
        <v>84</v>
      </c>
      <c r="BN7" s="715" t="s">
        <v>84</v>
      </c>
      <c r="BO7" s="716" t="s">
        <v>84</v>
      </c>
      <c r="BP7" s="714" t="s">
        <v>84</v>
      </c>
      <c r="BQ7" s="715" t="s">
        <v>84</v>
      </c>
      <c r="BR7" s="716" t="s">
        <v>84</v>
      </c>
      <c r="BS7" s="714" t="s">
        <v>84</v>
      </c>
      <c r="BT7" s="715" t="s">
        <v>84</v>
      </c>
      <c r="BU7" s="716" t="s">
        <v>84</v>
      </c>
      <c r="BV7" s="714" t="s">
        <v>84</v>
      </c>
      <c r="BW7" s="715" t="s">
        <v>84</v>
      </c>
      <c r="BX7" s="716" t="s">
        <v>84</v>
      </c>
      <c r="BY7" s="714" t="s">
        <v>84</v>
      </c>
      <c r="BZ7" s="715" t="s">
        <v>84</v>
      </c>
      <c r="CA7" s="716" t="s">
        <v>84</v>
      </c>
      <c r="CB7" s="570"/>
    </row>
    <row r="8" spans="1:82" x14ac:dyDescent="0.2">
      <c r="A8" s="2317"/>
      <c r="B8" s="2318"/>
      <c r="C8" s="2321"/>
      <c r="D8" s="2317"/>
      <c r="E8" s="2318"/>
      <c r="F8" s="2325" t="s">
        <v>34</v>
      </c>
      <c r="G8" s="2326"/>
      <c r="H8" s="518">
        <f>ROUND(SQRT(I8^2+J8^2)*1000/(SQRT(3)*I11),2)</f>
        <v>8.4</v>
      </c>
      <c r="I8" s="519">
        <f>(I29+I31)+I19</f>
        <v>0.1482</v>
      </c>
      <c r="J8" s="520">
        <f>(J29+J31)+J19</f>
        <v>2.2799999999999997E-2</v>
      </c>
      <c r="K8" s="518">
        <f>ROUND(SQRT(L8^2+M8^2)*1000/(SQRT(3)*L11),2)</f>
        <v>8.86</v>
      </c>
      <c r="L8" s="519">
        <f>(L29+L31)+L19</f>
        <v>0.15630000000000002</v>
      </c>
      <c r="M8" s="520">
        <f>(M29+M31)+M19</f>
        <v>2.3699999999999999E-2</v>
      </c>
      <c r="N8" s="518">
        <f>ROUND(SQRT(O8^2+P8^2)*1000/(SQRT(3)*O11),2)</f>
        <v>8.7100000000000009</v>
      </c>
      <c r="O8" s="519">
        <f>(O29+O31)+O19</f>
        <v>0.15360000000000001</v>
      </c>
      <c r="P8" s="520">
        <f>(P29+P31)+P19</f>
        <v>2.3400000000000001E-2</v>
      </c>
      <c r="Q8" s="518">
        <f>ROUND(SQRT(R8^2+S8^2)*1000/(SQRT(3)*R11),2)</f>
        <v>8.5</v>
      </c>
      <c r="R8" s="519">
        <f>(R29+R31)+R19</f>
        <v>0.15000000000000002</v>
      </c>
      <c r="S8" s="520">
        <f>(S29+S31)+S19</f>
        <v>2.2499999999999999E-2</v>
      </c>
      <c r="T8" s="518">
        <f>ROUND(SQRT(U8^2+V8^2)*1000/(SQRT(3)*U11),2)</f>
        <v>8.81</v>
      </c>
      <c r="U8" s="519">
        <f>(U29+U31)+U19</f>
        <v>0.15540000000000001</v>
      </c>
      <c r="V8" s="520">
        <f>(V29+V31)+V19</f>
        <v>2.3699999999999999E-2</v>
      </c>
      <c r="W8" s="518">
        <f>ROUND(SQRT(X8^2+Y8^2)*1000/(SQRT(3)*X11),2)</f>
        <v>9.0500000000000007</v>
      </c>
      <c r="X8" s="519">
        <f>(X29+X31)+X19</f>
        <v>0.15990000000000001</v>
      </c>
      <c r="Y8" s="520">
        <f>(Y29+Y31)+Y19</f>
        <v>2.2799999999999997E-2</v>
      </c>
      <c r="Z8" s="518">
        <f>ROUND(SQRT(AA8^2+AB8^2)*1000/(SQRT(3)*AA11),2)</f>
        <v>8.98</v>
      </c>
      <c r="AA8" s="519">
        <f>(AA29+AA31)+AA19</f>
        <v>0.15870000000000001</v>
      </c>
      <c r="AB8" s="520">
        <f>(AB29+AB31)+AB19</f>
        <v>2.1600000000000001E-2</v>
      </c>
      <c r="AC8" s="518">
        <f>ROUND(SQRT(AD8^2+AE8^2)*1000/(SQRT(3)*AD11),2)</f>
        <v>9.1</v>
      </c>
      <c r="AD8" s="519">
        <f>(AD29+AD31)+AD19</f>
        <v>0.1608</v>
      </c>
      <c r="AE8" s="520">
        <f>(AE29+AE31)+AE19</f>
        <v>2.1900000000000003E-2</v>
      </c>
      <c r="AF8" s="518">
        <f>ROUND(SQRT(AG8^2+AH8^2)*1000/(SQRT(3)*AG11),2)</f>
        <v>9.14</v>
      </c>
      <c r="AG8" s="519">
        <f>(AG29+AG31)+AG19</f>
        <v>0.16139999999999999</v>
      </c>
      <c r="AH8" s="520">
        <f>(AH29+AH31)+AH19</f>
        <v>2.3100000000000002E-2</v>
      </c>
      <c r="AI8" s="518">
        <f>ROUND(SQRT(AJ8^2+AK8^2)*1000/(SQRT(3)*AJ11),2)</f>
        <v>9.7200000000000006</v>
      </c>
      <c r="AJ8" s="519">
        <f>(AJ29+AJ31)+AJ19</f>
        <v>0.17130000000000001</v>
      </c>
      <c r="AK8" s="520">
        <f>(AK29+AK31)+AK19</f>
        <v>2.7300000000000001E-2</v>
      </c>
      <c r="AL8" s="518">
        <f>ROUND(SQRT(AM8^2+AN8^2)*1000/(SQRT(3)*AM11),2)</f>
        <v>9.94</v>
      </c>
      <c r="AM8" s="519">
        <f>(AM29+AM31)+AM19</f>
        <v>0.1749</v>
      </c>
      <c r="AN8" s="520">
        <f>(AN29+AN31)+AN19</f>
        <v>2.9100000000000001E-2</v>
      </c>
      <c r="AO8" s="518">
        <f>ROUND(SQRT(AP8^2+AQ8^2)*1000/(SQRT(3)*AP11),2)</f>
        <v>9.2799999999999994</v>
      </c>
      <c r="AP8" s="519">
        <f>(AP29+AP31)+AP19</f>
        <v>0.1638</v>
      </c>
      <c r="AQ8" s="520">
        <f>(AQ29+AQ31)+AQ19</f>
        <v>2.4300000000000002E-2</v>
      </c>
      <c r="AR8" s="518">
        <f>ROUND(SQRT(AS8^2+AT8^2)*1000/(SQRT(3)*AS11),2)</f>
        <v>9.0500000000000007</v>
      </c>
      <c r="AS8" s="519">
        <f>(AS29+AS31)+AS19</f>
        <v>0.15960000000000002</v>
      </c>
      <c r="AT8" s="520">
        <f>(AT29+AT31)+AT19</f>
        <v>2.4E-2</v>
      </c>
      <c r="AU8" s="518">
        <f>ROUND(SQRT(AV8^2+AW8^2)*1000/(SQRT(3)*AV11),2)</f>
        <v>8.7100000000000009</v>
      </c>
      <c r="AV8" s="519">
        <f>(AV29+AV31)+AV19</f>
        <v>0.15359999999999999</v>
      </c>
      <c r="AW8" s="520">
        <f>(AW29+AW31)+AW19</f>
        <v>2.3699999999999999E-2</v>
      </c>
      <c r="AX8" s="518">
        <f>ROUND(SQRT(AY8^2+AZ8^2)*1000/(SQRT(3)*AY11),2)</f>
        <v>8.6999999999999993</v>
      </c>
      <c r="AY8" s="519">
        <f>(AY29+AY31)+AY19</f>
        <v>0.15359999999999999</v>
      </c>
      <c r="AZ8" s="520">
        <f>(AZ29+AZ31)+AZ19</f>
        <v>2.2200000000000001E-2</v>
      </c>
      <c r="BA8" s="518">
        <f>ROUND(SQRT(BB8^2+BC8^2)*1000/(SQRT(3)*BB11),2)</f>
        <v>9.1300000000000008</v>
      </c>
      <c r="BB8" s="519">
        <f>(BB29+BB31)+BB19</f>
        <v>0.16109999999999999</v>
      </c>
      <c r="BC8" s="520">
        <f>(BC29+BC31)+BC19</f>
        <v>2.3999999999999997E-2</v>
      </c>
      <c r="BD8" s="518">
        <f>ROUND(SQRT(BE8^2+BF8^2)*1000/(SQRT(3)*BE11),2)</f>
        <v>8.8699999999999992</v>
      </c>
      <c r="BE8" s="519">
        <f>(BE29+BE31)+BE19</f>
        <v>0.15629999999999999</v>
      </c>
      <c r="BF8" s="520">
        <f>(BF29+BF31)+BF19</f>
        <v>2.4300000000000002E-2</v>
      </c>
      <c r="BG8" s="518">
        <f>ROUND(SQRT(BH8^2+BI8^2)*1000/(SQRT(3)*BH11),2)</f>
        <v>8.83</v>
      </c>
      <c r="BH8" s="519">
        <f>(BH29+BH31)+BH19</f>
        <v>0.156</v>
      </c>
      <c r="BI8" s="520">
        <f>(BI29+BI31)+BI19</f>
        <v>2.1600000000000001E-2</v>
      </c>
      <c r="BJ8" s="518">
        <f>ROUND(SQRT(BK8^2+BL8^2)*1000/(SQRT(3)*BK11),2)</f>
        <v>8.9</v>
      </c>
      <c r="BK8" s="519">
        <f>(BK29+BK31)+BK19</f>
        <v>0.15719999999999998</v>
      </c>
      <c r="BL8" s="520">
        <f>(BL29+BL31)+BL19</f>
        <v>2.1900000000000003E-2</v>
      </c>
      <c r="BM8" s="518">
        <f>ROUND(SQRT(BN8^2+BO8^2)*1000/(SQRT(3)*BN11),2)</f>
        <v>9.33</v>
      </c>
      <c r="BN8" s="519">
        <f>(BN29+BN31)+BN19</f>
        <v>0.16500000000000001</v>
      </c>
      <c r="BO8" s="520">
        <f>(BO29+BO31)+BO19</f>
        <v>2.2200000000000001E-2</v>
      </c>
      <c r="BP8" s="518">
        <f>ROUND(SQRT(BQ8^2+BR8^2)*1000/(SQRT(3)*BQ11),2)</f>
        <v>9.27</v>
      </c>
      <c r="BQ8" s="519">
        <f>(BQ29+BQ31)+BQ19</f>
        <v>0.16349999999999998</v>
      </c>
      <c r="BR8" s="520">
        <f>(BR29+BR31)+BR19</f>
        <v>2.4299999999999999E-2</v>
      </c>
      <c r="BS8" s="518">
        <f>ROUND(SQRT(BT8^2+BU8^2)*1000/(SQRT(3)*BT11),2)</f>
        <v>9.15</v>
      </c>
      <c r="BT8" s="519">
        <f>(BT29+BT31)+BT19</f>
        <v>0.16139999999999999</v>
      </c>
      <c r="BU8" s="520">
        <f>(BU29+BU31)+BU19</f>
        <v>2.4900000000000002E-2</v>
      </c>
      <c r="BV8" s="518">
        <f>ROUND(SQRT(BW8^2+BX8^2)*1000/(SQRT(3)*BW11),2)</f>
        <v>9.48</v>
      </c>
      <c r="BW8" s="519">
        <f>(BW29+BW31)+BW19</f>
        <v>0.16770000000000002</v>
      </c>
      <c r="BX8" s="520">
        <f>(BX29+BX31)+BX19</f>
        <v>2.1299999999999999E-2</v>
      </c>
      <c r="BY8" s="518">
        <f>ROUND(SQRT(BZ8^2+CA8^2)*1000/(SQRT(3)*BZ11),2)</f>
        <v>8.85</v>
      </c>
      <c r="BZ8" s="519">
        <f>(BZ29+BZ31)+BZ19</f>
        <v>0.156</v>
      </c>
      <c r="CA8" s="520">
        <f>(CA29+CA31)+CA19</f>
        <v>2.3999999999999997E-2</v>
      </c>
      <c r="CB8" s="717">
        <f>SUM(BZ8,BW8,BT8,BQ8,BN8,BK8,BH8,BE8,BB8,AY8,AV8,AS8,AP8,AM8,AJ8,AG8,AD8,AA8,X8,U8,R8,O8,L8,I8)</f>
        <v>3.8253000000000004</v>
      </c>
      <c r="CC8" s="618">
        <f>SUM(CA8,BX8,BU8,BR8,BO8,BL8,BI8,BF8,BC8,AZ8,AW8,AT8,AQ8,AN8,AK8,AH8,AE8,AB8,Y8,V8,S8,P8,M8,J8)</f>
        <v>0.5646000000000001</v>
      </c>
      <c r="CD8" s="517"/>
    </row>
    <row r="9" spans="1:82" ht="13.5" thickBot="1" x14ac:dyDescent="0.25">
      <c r="A9" s="2317"/>
      <c r="B9" s="2318"/>
      <c r="C9" s="2321"/>
      <c r="D9" s="2319"/>
      <c r="E9" s="2275"/>
      <c r="F9" s="2279"/>
      <c r="G9" s="2281"/>
      <c r="H9" s="718" t="s">
        <v>84</v>
      </c>
      <c r="I9" s="719" t="s">
        <v>84</v>
      </c>
      <c r="J9" s="720" t="s">
        <v>84</v>
      </c>
      <c r="K9" s="718" t="s">
        <v>84</v>
      </c>
      <c r="L9" s="719" t="s">
        <v>84</v>
      </c>
      <c r="M9" s="720" t="s">
        <v>84</v>
      </c>
      <c r="N9" s="718" t="s">
        <v>84</v>
      </c>
      <c r="O9" s="719" t="s">
        <v>84</v>
      </c>
      <c r="P9" s="720" t="s">
        <v>84</v>
      </c>
      <c r="Q9" s="718" t="s">
        <v>84</v>
      </c>
      <c r="R9" s="719" t="s">
        <v>84</v>
      </c>
      <c r="S9" s="720" t="s">
        <v>84</v>
      </c>
      <c r="T9" s="718" t="s">
        <v>84</v>
      </c>
      <c r="U9" s="719" t="s">
        <v>84</v>
      </c>
      <c r="V9" s="720" t="s">
        <v>84</v>
      </c>
      <c r="W9" s="718" t="s">
        <v>84</v>
      </c>
      <c r="X9" s="719" t="s">
        <v>84</v>
      </c>
      <c r="Y9" s="720" t="s">
        <v>84</v>
      </c>
      <c r="Z9" s="718" t="s">
        <v>84</v>
      </c>
      <c r="AA9" s="719" t="s">
        <v>84</v>
      </c>
      <c r="AB9" s="720" t="s">
        <v>84</v>
      </c>
      <c r="AC9" s="718" t="s">
        <v>84</v>
      </c>
      <c r="AD9" s="719" t="s">
        <v>84</v>
      </c>
      <c r="AE9" s="720" t="s">
        <v>84</v>
      </c>
      <c r="AF9" s="718" t="s">
        <v>84</v>
      </c>
      <c r="AG9" s="719" t="s">
        <v>84</v>
      </c>
      <c r="AH9" s="720" t="s">
        <v>84</v>
      </c>
      <c r="AI9" s="718" t="s">
        <v>84</v>
      </c>
      <c r="AJ9" s="719" t="s">
        <v>84</v>
      </c>
      <c r="AK9" s="720" t="s">
        <v>84</v>
      </c>
      <c r="AL9" s="718" t="s">
        <v>84</v>
      </c>
      <c r="AM9" s="719" t="s">
        <v>84</v>
      </c>
      <c r="AN9" s="720" t="s">
        <v>84</v>
      </c>
      <c r="AO9" s="718" t="s">
        <v>84</v>
      </c>
      <c r="AP9" s="719" t="s">
        <v>84</v>
      </c>
      <c r="AQ9" s="720" t="s">
        <v>84</v>
      </c>
      <c r="AR9" s="718" t="s">
        <v>84</v>
      </c>
      <c r="AS9" s="719" t="s">
        <v>84</v>
      </c>
      <c r="AT9" s="720" t="s">
        <v>84</v>
      </c>
      <c r="AU9" s="718" t="s">
        <v>84</v>
      </c>
      <c r="AV9" s="719" t="s">
        <v>84</v>
      </c>
      <c r="AW9" s="720" t="s">
        <v>84</v>
      </c>
      <c r="AX9" s="718" t="s">
        <v>84</v>
      </c>
      <c r="AY9" s="719" t="s">
        <v>84</v>
      </c>
      <c r="AZ9" s="720" t="s">
        <v>84</v>
      </c>
      <c r="BA9" s="718" t="s">
        <v>84</v>
      </c>
      <c r="BB9" s="719" t="s">
        <v>84</v>
      </c>
      <c r="BC9" s="720" t="s">
        <v>84</v>
      </c>
      <c r="BD9" s="718" t="s">
        <v>84</v>
      </c>
      <c r="BE9" s="719" t="s">
        <v>84</v>
      </c>
      <c r="BF9" s="720" t="s">
        <v>84</v>
      </c>
      <c r="BG9" s="718" t="s">
        <v>84</v>
      </c>
      <c r="BH9" s="719" t="s">
        <v>84</v>
      </c>
      <c r="BI9" s="720" t="s">
        <v>84</v>
      </c>
      <c r="BJ9" s="718" t="s">
        <v>84</v>
      </c>
      <c r="BK9" s="719" t="s">
        <v>84</v>
      </c>
      <c r="BL9" s="720" t="s">
        <v>84</v>
      </c>
      <c r="BM9" s="718" t="s">
        <v>84</v>
      </c>
      <c r="BN9" s="719" t="s">
        <v>84</v>
      </c>
      <c r="BO9" s="720" t="s">
        <v>84</v>
      </c>
      <c r="BP9" s="718" t="s">
        <v>84</v>
      </c>
      <c r="BQ9" s="719" t="s">
        <v>84</v>
      </c>
      <c r="BR9" s="720" t="s">
        <v>84</v>
      </c>
      <c r="BS9" s="718" t="s">
        <v>84</v>
      </c>
      <c r="BT9" s="719" t="s">
        <v>84</v>
      </c>
      <c r="BU9" s="720" t="s">
        <v>84</v>
      </c>
      <c r="BV9" s="718" t="s">
        <v>84</v>
      </c>
      <c r="BW9" s="719" t="s">
        <v>84</v>
      </c>
      <c r="BX9" s="720" t="s">
        <v>84</v>
      </c>
      <c r="BY9" s="718" t="s">
        <v>84</v>
      </c>
      <c r="BZ9" s="719" t="s">
        <v>84</v>
      </c>
      <c r="CA9" s="720" t="s">
        <v>84</v>
      </c>
      <c r="CB9" s="570"/>
    </row>
    <row r="10" spans="1:82" x14ac:dyDescent="0.2">
      <c r="A10" s="2317"/>
      <c r="B10" s="2318"/>
      <c r="C10" s="2321"/>
      <c r="D10" s="2316" t="s">
        <v>14</v>
      </c>
      <c r="E10" s="2273"/>
      <c r="F10" s="2323" t="s">
        <v>33</v>
      </c>
      <c r="G10" s="2324"/>
      <c r="H10" s="721"/>
      <c r="I10" s="722">
        <v>117</v>
      </c>
      <c r="J10" s="723"/>
      <c r="K10" s="721"/>
      <c r="L10" s="722">
        <v>117</v>
      </c>
      <c r="M10" s="723"/>
      <c r="N10" s="721"/>
      <c r="O10" s="722">
        <v>117</v>
      </c>
      <c r="P10" s="723"/>
      <c r="Q10" s="721"/>
      <c r="R10" s="722">
        <v>117</v>
      </c>
      <c r="S10" s="723"/>
      <c r="T10" s="721"/>
      <c r="U10" s="722">
        <v>117</v>
      </c>
      <c r="V10" s="723"/>
      <c r="W10" s="721"/>
      <c r="X10" s="722">
        <v>117</v>
      </c>
      <c r="Y10" s="723"/>
      <c r="Z10" s="721"/>
      <c r="AA10" s="722">
        <v>117</v>
      </c>
      <c r="AB10" s="723"/>
      <c r="AC10" s="721"/>
      <c r="AD10" s="722">
        <v>117</v>
      </c>
      <c r="AE10" s="723"/>
      <c r="AF10" s="721"/>
      <c r="AG10" s="722">
        <v>117</v>
      </c>
      <c r="AH10" s="723"/>
      <c r="AI10" s="721"/>
      <c r="AJ10" s="722">
        <v>117</v>
      </c>
      <c r="AK10" s="723"/>
      <c r="AL10" s="721"/>
      <c r="AM10" s="722">
        <v>117</v>
      </c>
      <c r="AN10" s="723"/>
      <c r="AO10" s="721"/>
      <c r="AP10" s="722">
        <v>117</v>
      </c>
      <c r="AQ10" s="723"/>
      <c r="AR10" s="721"/>
      <c r="AS10" s="722">
        <v>117</v>
      </c>
      <c r="AT10" s="723"/>
      <c r="AU10" s="721"/>
      <c r="AV10" s="722">
        <v>117</v>
      </c>
      <c r="AW10" s="723"/>
      <c r="AX10" s="721"/>
      <c r="AY10" s="722">
        <v>117</v>
      </c>
      <c r="AZ10" s="723"/>
      <c r="BA10" s="721"/>
      <c r="BB10" s="722">
        <v>117</v>
      </c>
      <c r="BC10" s="723"/>
      <c r="BD10" s="721"/>
      <c r="BE10" s="722">
        <v>117</v>
      </c>
      <c r="BF10" s="723"/>
      <c r="BG10" s="721"/>
      <c r="BH10" s="722">
        <v>117</v>
      </c>
      <c r="BI10" s="723"/>
      <c r="BJ10" s="721"/>
      <c r="BK10" s="722">
        <v>117</v>
      </c>
      <c r="BL10" s="723"/>
      <c r="BM10" s="721"/>
      <c r="BN10" s="722">
        <v>117</v>
      </c>
      <c r="BO10" s="723"/>
      <c r="BP10" s="721"/>
      <c r="BQ10" s="722">
        <v>117</v>
      </c>
      <c r="BR10" s="723"/>
      <c r="BS10" s="721"/>
      <c r="BT10" s="722">
        <v>117</v>
      </c>
      <c r="BU10" s="723"/>
      <c r="BV10" s="721"/>
      <c r="BW10" s="722">
        <v>117</v>
      </c>
      <c r="BX10" s="723"/>
      <c r="BY10" s="721"/>
      <c r="BZ10" s="722">
        <v>117</v>
      </c>
      <c r="CA10" s="723"/>
      <c r="CB10" s="570"/>
      <c r="CC10" s="724"/>
    </row>
    <row r="11" spans="1:82" ht="13.5" thickBot="1" x14ac:dyDescent="0.25">
      <c r="A11" s="2317"/>
      <c r="B11" s="2318"/>
      <c r="C11" s="2321"/>
      <c r="D11" s="2319"/>
      <c r="E11" s="2275"/>
      <c r="F11" s="2325" t="s">
        <v>34</v>
      </c>
      <c r="G11" s="2326"/>
      <c r="H11" s="725"/>
      <c r="I11" s="726">
        <v>10.3</v>
      </c>
      <c r="J11" s="727"/>
      <c r="K11" s="725"/>
      <c r="L11" s="726">
        <v>10.3</v>
      </c>
      <c r="M11" s="727"/>
      <c r="N11" s="725"/>
      <c r="O11" s="726">
        <v>10.3</v>
      </c>
      <c r="P11" s="727"/>
      <c r="Q11" s="725"/>
      <c r="R11" s="726">
        <v>10.3</v>
      </c>
      <c r="S11" s="727"/>
      <c r="T11" s="725"/>
      <c r="U11" s="726">
        <v>10.3</v>
      </c>
      <c r="V11" s="727"/>
      <c r="W11" s="725"/>
      <c r="X11" s="726">
        <v>10.3</v>
      </c>
      <c r="Y11" s="727"/>
      <c r="Z11" s="725"/>
      <c r="AA11" s="726">
        <v>10.3</v>
      </c>
      <c r="AB11" s="727"/>
      <c r="AC11" s="725"/>
      <c r="AD11" s="726">
        <v>10.3</v>
      </c>
      <c r="AE11" s="727"/>
      <c r="AF11" s="725"/>
      <c r="AG11" s="726">
        <v>10.3</v>
      </c>
      <c r="AH11" s="727"/>
      <c r="AI11" s="725"/>
      <c r="AJ11" s="726">
        <v>10.3</v>
      </c>
      <c r="AK11" s="727"/>
      <c r="AL11" s="725"/>
      <c r="AM11" s="726">
        <v>10.3</v>
      </c>
      <c r="AN11" s="727"/>
      <c r="AO11" s="725"/>
      <c r="AP11" s="726">
        <v>10.3</v>
      </c>
      <c r="AQ11" s="727"/>
      <c r="AR11" s="725"/>
      <c r="AS11" s="726">
        <v>10.3</v>
      </c>
      <c r="AT11" s="727"/>
      <c r="AU11" s="725"/>
      <c r="AV11" s="726">
        <v>10.3</v>
      </c>
      <c r="AW11" s="727"/>
      <c r="AX11" s="725"/>
      <c r="AY11" s="726">
        <v>10.3</v>
      </c>
      <c r="AZ11" s="727"/>
      <c r="BA11" s="725"/>
      <c r="BB11" s="726">
        <v>10.3</v>
      </c>
      <c r="BC11" s="727"/>
      <c r="BD11" s="725"/>
      <c r="BE11" s="726">
        <v>10.3</v>
      </c>
      <c r="BF11" s="727"/>
      <c r="BG11" s="725"/>
      <c r="BH11" s="726">
        <v>10.3</v>
      </c>
      <c r="BI11" s="727"/>
      <c r="BJ11" s="725"/>
      <c r="BK11" s="726">
        <v>10.3</v>
      </c>
      <c r="BL11" s="727"/>
      <c r="BM11" s="725"/>
      <c r="BN11" s="726">
        <v>10.3</v>
      </c>
      <c r="BO11" s="727"/>
      <c r="BP11" s="725"/>
      <c r="BQ11" s="726">
        <v>10.3</v>
      </c>
      <c r="BR11" s="727"/>
      <c r="BS11" s="725"/>
      <c r="BT11" s="726">
        <v>10.3</v>
      </c>
      <c r="BU11" s="727"/>
      <c r="BV11" s="725"/>
      <c r="BW11" s="726">
        <v>10.3</v>
      </c>
      <c r="BX11" s="727"/>
      <c r="BY11" s="725"/>
      <c r="BZ11" s="726">
        <v>10.3</v>
      </c>
      <c r="CA11" s="727"/>
      <c r="CB11" s="570"/>
      <c r="CC11" s="728"/>
    </row>
    <row r="12" spans="1:82" ht="15.75" customHeight="1" thickBot="1" x14ac:dyDescent="0.25">
      <c r="A12" s="2319"/>
      <c r="B12" s="2275"/>
      <c r="C12" s="2322"/>
      <c r="D12" s="2327" t="s">
        <v>39</v>
      </c>
      <c r="E12" s="2328"/>
      <c r="F12" s="2328"/>
      <c r="G12" s="2329"/>
      <c r="H12" s="729"/>
      <c r="I12" s="730">
        <v>19</v>
      </c>
      <c r="J12" s="731"/>
      <c r="K12" s="729"/>
      <c r="L12" s="730">
        <v>19</v>
      </c>
      <c r="M12" s="731"/>
      <c r="N12" s="729"/>
      <c r="O12" s="730">
        <v>19</v>
      </c>
      <c r="P12" s="731"/>
      <c r="Q12" s="729"/>
      <c r="R12" s="730">
        <v>19</v>
      </c>
      <c r="S12" s="731"/>
      <c r="T12" s="729"/>
      <c r="U12" s="730">
        <v>19</v>
      </c>
      <c r="V12" s="731"/>
      <c r="W12" s="729"/>
      <c r="X12" s="730">
        <v>19</v>
      </c>
      <c r="Y12" s="731"/>
      <c r="Z12" s="729"/>
      <c r="AA12" s="730">
        <v>19</v>
      </c>
      <c r="AB12" s="731"/>
      <c r="AC12" s="729"/>
      <c r="AD12" s="730">
        <v>19</v>
      </c>
      <c r="AE12" s="731"/>
      <c r="AF12" s="729"/>
      <c r="AG12" s="730">
        <v>19</v>
      </c>
      <c r="AH12" s="731"/>
      <c r="AI12" s="729"/>
      <c r="AJ12" s="730">
        <v>19</v>
      </c>
      <c r="AK12" s="731"/>
      <c r="AL12" s="729"/>
      <c r="AM12" s="730">
        <v>19</v>
      </c>
      <c r="AN12" s="731"/>
      <c r="AO12" s="729"/>
      <c r="AP12" s="730">
        <v>19</v>
      </c>
      <c r="AQ12" s="731"/>
      <c r="AR12" s="729"/>
      <c r="AS12" s="730">
        <v>19</v>
      </c>
      <c r="AT12" s="731"/>
      <c r="AU12" s="729"/>
      <c r="AV12" s="730">
        <v>19</v>
      </c>
      <c r="AW12" s="731"/>
      <c r="AX12" s="729"/>
      <c r="AY12" s="730">
        <v>19</v>
      </c>
      <c r="AZ12" s="731"/>
      <c r="BA12" s="729"/>
      <c r="BB12" s="730">
        <v>19</v>
      </c>
      <c r="BC12" s="731"/>
      <c r="BD12" s="729"/>
      <c r="BE12" s="730">
        <v>19</v>
      </c>
      <c r="BF12" s="731"/>
      <c r="BG12" s="729"/>
      <c r="BH12" s="730">
        <v>19</v>
      </c>
      <c r="BI12" s="731"/>
      <c r="BJ12" s="729"/>
      <c r="BK12" s="730">
        <v>19</v>
      </c>
      <c r="BL12" s="731"/>
      <c r="BM12" s="729"/>
      <c r="BN12" s="730">
        <v>19</v>
      </c>
      <c r="BO12" s="731"/>
      <c r="BP12" s="729"/>
      <c r="BQ12" s="730">
        <v>19</v>
      </c>
      <c r="BR12" s="731"/>
      <c r="BS12" s="729"/>
      <c r="BT12" s="730">
        <v>19</v>
      </c>
      <c r="BU12" s="731"/>
      <c r="BV12" s="729"/>
      <c r="BW12" s="730">
        <v>19</v>
      </c>
      <c r="BX12" s="731"/>
      <c r="BY12" s="729"/>
      <c r="BZ12" s="730">
        <v>19</v>
      </c>
      <c r="CA12" s="731"/>
      <c r="CB12" s="570"/>
      <c r="CC12" s="724"/>
    </row>
    <row r="13" spans="1:82" x14ac:dyDescent="0.2">
      <c r="A13" s="2316" t="s">
        <v>1</v>
      </c>
      <c r="B13" s="2273"/>
      <c r="C13" s="2320">
        <v>2.5</v>
      </c>
      <c r="D13" s="2316" t="s">
        <v>13</v>
      </c>
      <c r="E13" s="2273"/>
      <c r="F13" s="2323" t="s">
        <v>33</v>
      </c>
      <c r="G13" s="2324"/>
      <c r="H13" s="714" t="s">
        <v>84</v>
      </c>
      <c r="I13" s="715" t="s">
        <v>84</v>
      </c>
      <c r="J13" s="716" t="s">
        <v>84</v>
      </c>
      <c r="K13" s="714" t="s">
        <v>84</v>
      </c>
      <c r="L13" s="715" t="s">
        <v>84</v>
      </c>
      <c r="M13" s="716" t="s">
        <v>84</v>
      </c>
      <c r="N13" s="714" t="s">
        <v>84</v>
      </c>
      <c r="O13" s="715" t="s">
        <v>84</v>
      </c>
      <c r="P13" s="716" t="s">
        <v>84</v>
      </c>
      <c r="Q13" s="714" t="s">
        <v>84</v>
      </c>
      <c r="R13" s="715" t="s">
        <v>84</v>
      </c>
      <c r="S13" s="716" t="s">
        <v>84</v>
      </c>
      <c r="T13" s="714" t="s">
        <v>84</v>
      </c>
      <c r="U13" s="715" t="s">
        <v>84</v>
      </c>
      <c r="V13" s="716" t="s">
        <v>84</v>
      </c>
      <c r="W13" s="714" t="s">
        <v>84</v>
      </c>
      <c r="X13" s="715" t="s">
        <v>84</v>
      </c>
      <c r="Y13" s="716" t="s">
        <v>84</v>
      </c>
      <c r="Z13" s="714" t="s">
        <v>84</v>
      </c>
      <c r="AA13" s="715" t="s">
        <v>84</v>
      </c>
      <c r="AB13" s="716" t="s">
        <v>84</v>
      </c>
      <c r="AC13" s="714" t="s">
        <v>84</v>
      </c>
      <c r="AD13" s="715" t="s">
        <v>84</v>
      </c>
      <c r="AE13" s="716" t="s">
        <v>84</v>
      </c>
      <c r="AF13" s="714" t="s">
        <v>84</v>
      </c>
      <c r="AG13" s="715" t="s">
        <v>84</v>
      </c>
      <c r="AH13" s="716" t="s">
        <v>84</v>
      </c>
      <c r="AI13" s="714" t="s">
        <v>84</v>
      </c>
      <c r="AJ13" s="715" t="s">
        <v>84</v>
      </c>
      <c r="AK13" s="716" t="s">
        <v>84</v>
      </c>
      <c r="AL13" s="714" t="s">
        <v>84</v>
      </c>
      <c r="AM13" s="715" t="s">
        <v>84</v>
      </c>
      <c r="AN13" s="716" t="s">
        <v>84</v>
      </c>
      <c r="AO13" s="714" t="s">
        <v>84</v>
      </c>
      <c r="AP13" s="715" t="s">
        <v>84</v>
      </c>
      <c r="AQ13" s="716" t="s">
        <v>84</v>
      </c>
      <c r="AR13" s="714" t="s">
        <v>84</v>
      </c>
      <c r="AS13" s="715" t="s">
        <v>84</v>
      </c>
      <c r="AT13" s="716" t="s">
        <v>84</v>
      </c>
      <c r="AU13" s="714" t="s">
        <v>84</v>
      </c>
      <c r="AV13" s="715" t="s">
        <v>84</v>
      </c>
      <c r="AW13" s="716" t="s">
        <v>84</v>
      </c>
      <c r="AX13" s="714" t="s">
        <v>84</v>
      </c>
      <c r="AY13" s="715" t="s">
        <v>84</v>
      </c>
      <c r="AZ13" s="716" t="s">
        <v>84</v>
      </c>
      <c r="BA13" s="714" t="s">
        <v>84</v>
      </c>
      <c r="BB13" s="715" t="s">
        <v>84</v>
      </c>
      <c r="BC13" s="716" t="s">
        <v>84</v>
      </c>
      <c r="BD13" s="714" t="s">
        <v>84</v>
      </c>
      <c r="BE13" s="715" t="s">
        <v>84</v>
      </c>
      <c r="BF13" s="716" t="s">
        <v>84</v>
      </c>
      <c r="BG13" s="714" t="s">
        <v>84</v>
      </c>
      <c r="BH13" s="715" t="s">
        <v>84</v>
      </c>
      <c r="BI13" s="716" t="s">
        <v>84</v>
      </c>
      <c r="BJ13" s="714" t="s">
        <v>84</v>
      </c>
      <c r="BK13" s="715" t="s">
        <v>84</v>
      </c>
      <c r="BL13" s="716" t="s">
        <v>84</v>
      </c>
      <c r="BM13" s="714" t="s">
        <v>84</v>
      </c>
      <c r="BN13" s="715" t="s">
        <v>84</v>
      </c>
      <c r="BO13" s="716" t="s">
        <v>84</v>
      </c>
      <c r="BP13" s="714" t="s">
        <v>84</v>
      </c>
      <c r="BQ13" s="715" t="s">
        <v>84</v>
      </c>
      <c r="BR13" s="716" t="s">
        <v>84</v>
      </c>
      <c r="BS13" s="714" t="s">
        <v>84</v>
      </c>
      <c r="BT13" s="715" t="s">
        <v>84</v>
      </c>
      <c r="BU13" s="716" t="s">
        <v>84</v>
      </c>
      <c r="BV13" s="714" t="s">
        <v>84</v>
      </c>
      <c r="BW13" s="715" t="s">
        <v>84</v>
      </c>
      <c r="BX13" s="716" t="s">
        <v>84</v>
      </c>
      <c r="BY13" s="714" t="s">
        <v>84</v>
      </c>
      <c r="BZ13" s="715" t="s">
        <v>84</v>
      </c>
      <c r="CA13" s="716" t="s">
        <v>84</v>
      </c>
      <c r="CB13" s="570"/>
      <c r="CC13" s="724"/>
    </row>
    <row r="14" spans="1:82" x14ac:dyDescent="0.2">
      <c r="A14" s="2317"/>
      <c r="B14" s="2318"/>
      <c r="C14" s="2321"/>
      <c r="D14" s="2317"/>
      <c r="E14" s="2318"/>
      <c r="F14" s="2325" t="s">
        <v>34</v>
      </c>
      <c r="G14" s="2326"/>
      <c r="H14" s="575">
        <f>ROUND(SQRT(I14^2+J14^2)*1000/(SQRT(3)*I17),2)</f>
        <v>13.83</v>
      </c>
      <c r="I14" s="578">
        <f>(I30)+I21</f>
        <v>0.2424</v>
      </c>
      <c r="J14" s="578">
        <f>(J30)+J21</f>
        <v>4.5599999999999995E-2</v>
      </c>
      <c r="K14" s="575">
        <f>ROUND(SQRT(L14^2+M14^2)*1000/(SQRT(3)*L17),2)</f>
        <v>13.25</v>
      </c>
      <c r="L14" s="578">
        <f>(L30)+L21</f>
        <v>0.2319</v>
      </c>
      <c r="M14" s="578">
        <f>(M30)+M21</f>
        <v>4.5900000000000003E-2</v>
      </c>
      <c r="N14" s="575">
        <f>ROUND(SQRT(O14^2+P14^2)*1000/(SQRT(3)*O17),2)</f>
        <v>12.72</v>
      </c>
      <c r="O14" s="578">
        <f>(O30)+O21</f>
        <v>0.22259999999999999</v>
      </c>
      <c r="P14" s="578">
        <f>(P30)+P21</f>
        <v>4.4099999999999993E-2</v>
      </c>
      <c r="Q14" s="575">
        <f>ROUND(SQRT(R14^2+S14^2)*1000/(SQRT(3)*R17),2)</f>
        <v>12.73</v>
      </c>
      <c r="R14" s="578">
        <f>(R30)+R21</f>
        <v>0.22290000000000001</v>
      </c>
      <c r="S14" s="578">
        <f>(S30)+S21</f>
        <v>4.3799999999999999E-2</v>
      </c>
      <c r="T14" s="575">
        <f>ROUND(SQRT(U14^2+V14^2)*1000/(SQRT(3)*U17),2)</f>
        <v>12.7</v>
      </c>
      <c r="U14" s="578">
        <f>(U30)+U21</f>
        <v>0.22290000000000001</v>
      </c>
      <c r="V14" s="578">
        <f>(V30)+V21</f>
        <v>4.0799999999999996E-2</v>
      </c>
      <c r="W14" s="575">
        <f>ROUND(SQRT(X14^2+Y14^2)*1000/(SQRT(3)*X17),2)</f>
        <v>13.41</v>
      </c>
      <c r="X14" s="578">
        <f>(X30)+X21</f>
        <v>0.23400000000000001</v>
      </c>
      <c r="Y14" s="578">
        <f>(Y30)+Y21</f>
        <v>4.9799999999999997E-2</v>
      </c>
      <c r="Z14" s="575">
        <f>ROUND(SQRT(AA14^2+AB14^2)*1000/(SQRT(3)*AA17),2)</f>
        <v>16.53</v>
      </c>
      <c r="AA14" s="578">
        <f>(AA30)+AA21</f>
        <v>0.28889999999999999</v>
      </c>
      <c r="AB14" s="578">
        <f>(AB30)+AB21</f>
        <v>5.9099999999999993E-2</v>
      </c>
      <c r="AC14" s="575">
        <f>ROUND(SQRT(AD14^2+AE14^2)*1000/(SQRT(3)*AD17),2)</f>
        <v>18.010000000000002</v>
      </c>
      <c r="AD14" s="578">
        <f>(AD30)+AD21</f>
        <v>0.31589999999999996</v>
      </c>
      <c r="AE14" s="578">
        <f>(AE30)+AE21</f>
        <v>5.8200000000000002E-2</v>
      </c>
      <c r="AF14" s="575">
        <f>ROUND(SQRT(AG14^2+AH14^2)*1000/(SQRT(3)*AG17),2)</f>
        <v>19.059999999999999</v>
      </c>
      <c r="AG14" s="578">
        <f>(AG30)+AG21</f>
        <v>0.33510000000000001</v>
      </c>
      <c r="AH14" s="578">
        <f>(AH30)+AH21</f>
        <v>5.7599999999999998E-2</v>
      </c>
      <c r="AI14" s="575">
        <f>ROUND(SQRT(AJ14^2+AK14^2)*1000/(SQRT(3)*AJ17),2)</f>
        <v>19.77</v>
      </c>
      <c r="AJ14" s="578">
        <f>(AJ30)+AJ21</f>
        <v>0.34949999999999998</v>
      </c>
      <c r="AK14" s="578">
        <f>(AK30)+AK21</f>
        <v>4.7700000000000006E-2</v>
      </c>
      <c r="AL14" s="575">
        <f>ROUND(SQRT(AM14^2+AN14^2)*1000/(SQRT(3)*AM17),2)</f>
        <v>18.72</v>
      </c>
      <c r="AM14" s="578">
        <f>(AM30)+AM21</f>
        <v>0.33119999999999999</v>
      </c>
      <c r="AN14" s="578">
        <f>(AN30)+AN21</f>
        <v>4.2900000000000001E-2</v>
      </c>
      <c r="AO14" s="575">
        <f>ROUND(SQRT(AP14^2+AQ14^2)*1000/(SQRT(3)*AP17),2)</f>
        <v>18.28</v>
      </c>
      <c r="AP14" s="578">
        <f>(AP30)+AP21</f>
        <v>0.32250000000000001</v>
      </c>
      <c r="AQ14" s="578">
        <f>(AQ30)+AQ21</f>
        <v>4.8000000000000001E-2</v>
      </c>
      <c r="AR14" s="575">
        <f>ROUND(SQRT(AS14^2+AT14^2)*1000/(SQRT(3)*AS17),2)</f>
        <v>17.399999999999999</v>
      </c>
      <c r="AS14" s="578">
        <f>(AS30)+AS21</f>
        <v>0.30780000000000002</v>
      </c>
      <c r="AT14" s="578">
        <f>(AT30)+AT21</f>
        <v>4.0500000000000001E-2</v>
      </c>
      <c r="AU14" s="575">
        <f>ROUND(SQRT(AV14^2+AW14^2)*1000/(SQRT(3)*AV17),2)</f>
        <v>17.11</v>
      </c>
      <c r="AV14" s="578">
        <f>(AV30)+AV21</f>
        <v>0.30210000000000004</v>
      </c>
      <c r="AW14" s="578">
        <f>(AW30)+AW21</f>
        <v>4.3499999999999997E-2</v>
      </c>
      <c r="AX14" s="575">
        <f>ROUND(SQRT(AY14^2+AZ14^2)*1000/(SQRT(3)*AY17),2)</f>
        <v>17.05</v>
      </c>
      <c r="AY14" s="578">
        <f>(AY30)+AY21</f>
        <v>0.30149999999999999</v>
      </c>
      <c r="AZ14" s="578">
        <f>(AZ30)+AZ21</f>
        <v>3.9600000000000003E-2</v>
      </c>
      <c r="BA14" s="575">
        <f>ROUND(SQRT(BB14^2+BC14^2)*1000/(SQRT(3)*BB17),2)</f>
        <v>17.55</v>
      </c>
      <c r="BB14" s="578">
        <f>(BB30)+BB21</f>
        <v>0.3105</v>
      </c>
      <c r="BC14" s="578">
        <f>(BC30)+BC21</f>
        <v>4.0500000000000001E-2</v>
      </c>
      <c r="BD14" s="575">
        <f>ROUND(SQRT(BE14^2+BF14^2)*1000/(SQRT(3)*BE17),2)</f>
        <v>19.87</v>
      </c>
      <c r="BE14" s="578">
        <f>(BE30)+BE21</f>
        <v>0.34949999999999998</v>
      </c>
      <c r="BF14" s="578">
        <f>(BF30)+BF21</f>
        <v>5.8800000000000005E-2</v>
      </c>
      <c r="BG14" s="575">
        <f>ROUND(SQRT(BH14^2+BI14^2)*1000/(SQRT(3)*BH17),2)</f>
        <v>19.59</v>
      </c>
      <c r="BH14" s="578">
        <f>(BH30)+BH21</f>
        <v>0.34350000000000003</v>
      </c>
      <c r="BI14" s="578">
        <f>(BI30)+BI21</f>
        <v>6.480000000000001E-2</v>
      </c>
      <c r="BJ14" s="575">
        <f>ROUND(SQRT(BK14^2+BL14^2)*1000/(SQRT(3)*BK17),2)</f>
        <v>19.010000000000002</v>
      </c>
      <c r="BK14" s="578">
        <f>(BK30)+BK21</f>
        <v>0.33300000000000002</v>
      </c>
      <c r="BL14" s="578">
        <f>(BL30)+BL21</f>
        <v>6.3900000000000012E-2</v>
      </c>
      <c r="BM14" s="575">
        <f>ROUND(SQRT(BN14^2+BO14^2)*1000/(SQRT(3)*BN17),2)</f>
        <v>18.63</v>
      </c>
      <c r="BN14" s="578">
        <f>(BN30)+BN21</f>
        <v>0.32550000000000001</v>
      </c>
      <c r="BO14" s="578">
        <f>(BO30)+BO21</f>
        <v>6.6900000000000001E-2</v>
      </c>
      <c r="BP14" s="575">
        <f>ROUND(SQRT(BQ14^2+BR14^2)*1000/(SQRT(3)*BQ17),2)</f>
        <v>18.41</v>
      </c>
      <c r="BQ14" s="578">
        <f>(BQ30)+BQ21</f>
        <v>0.3231</v>
      </c>
      <c r="BR14" s="578">
        <f>(BR30)+BR21</f>
        <v>5.9400000000000008E-2</v>
      </c>
      <c r="BS14" s="575">
        <f>ROUND(SQRT(BT14^2+BU14^2)*1000/(SQRT(3)*BT17),2)</f>
        <v>18.27</v>
      </c>
      <c r="BT14" s="578">
        <f>(BT30)+BT21</f>
        <v>0.31979999999999997</v>
      </c>
      <c r="BU14" s="578">
        <f>(BU30)+BU21</f>
        <v>6.3E-2</v>
      </c>
      <c r="BV14" s="575">
        <f>ROUND(SQRT(BW14^2+BX14^2)*1000/(SQRT(3)*BW17),2)</f>
        <v>17.57</v>
      </c>
      <c r="BW14" s="578">
        <f>(BW30)+BW21</f>
        <v>0.3075</v>
      </c>
      <c r="BX14" s="578">
        <f>(BX30)+BX21</f>
        <v>6.0599999999999994E-2</v>
      </c>
      <c r="BY14" s="575">
        <f>ROUND(SQRT(BZ14^2+CA14^2)*1000/(SQRT(3)*BZ17),2)</f>
        <v>16.16</v>
      </c>
      <c r="BZ14" s="578">
        <f>(BZ30)+BZ21</f>
        <v>0.28199999999999997</v>
      </c>
      <c r="CA14" s="578">
        <f>(CA30)+CA21</f>
        <v>0.06</v>
      </c>
      <c r="CB14" s="717">
        <f>SUM(BZ14,BW14,BT14,BQ14,BN14,BK14,BH14,BE14,BB14,AY14,AV14,AS14,AP14,AM14,AJ14,AG14,AD14,AA14,X14,U14,R14,O14,L14,I14)</f>
        <v>7.1256000000000004</v>
      </c>
      <c r="CC14" s="618">
        <f>SUM(CA14,BX14,BU14,BR14,BO14,BL14,BI14,BF14,BC14,AZ14,AW14,AT14,AQ14,AN14,AK14,AH14,AE14,AB14,Y14,V14,S14,P14,M14,J14)</f>
        <v>1.2450000000000003</v>
      </c>
      <c r="CD14" s="517"/>
    </row>
    <row r="15" spans="1:82" ht="13.5" thickBot="1" x14ac:dyDescent="0.25">
      <c r="A15" s="2317"/>
      <c r="B15" s="2318"/>
      <c r="C15" s="2321"/>
      <c r="D15" s="2319"/>
      <c r="E15" s="2275"/>
      <c r="F15" s="2279"/>
      <c r="G15" s="2281"/>
      <c r="H15" s="718" t="s">
        <v>84</v>
      </c>
      <c r="I15" s="719" t="s">
        <v>84</v>
      </c>
      <c r="J15" s="720" t="s">
        <v>84</v>
      </c>
      <c r="K15" s="718" t="s">
        <v>84</v>
      </c>
      <c r="L15" s="719" t="s">
        <v>84</v>
      </c>
      <c r="M15" s="720" t="s">
        <v>84</v>
      </c>
      <c r="N15" s="718" t="s">
        <v>84</v>
      </c>
      <c r="O15" s="719" t="s">
        <v>84</v>
      </c>
      <c r="P15" s="720" t="s">
        <v>84</v>
      </c>
      <c r="Q15" s="718" t="s">
        <v>84</v>
      </c>
      <c r="R15" s="719" t="s">
        <v>84</v>
      </c>
      <c r="S15" s="720" t="s">
        <v>84</v>
      </c>
      <c r="T15" s="718" t="s">
        <v>84</v>
      </c>
      <c r="U15" s="719" t="s">
        <v>84</v>
      </c>
      <c r="V15" s="720" t="s">
        <v>84</v>
      </c>
      <c r="W15" s="718" t="s">
        <v>84</v>
      </c>
      <c r="X15" s="719" t="s">
        <v>84</v>
      </c>
      <c r="Y15" s="720" t="s">
        <v>84</v>
      </c>
      <c r="Z15" s="718" t="s">
        <v>84</v>
      </c>
      <c r="AA15" s="719" t="s">
        <v>84</v>
      </c>
      <c r="AB15" s="720" t="s">
        <v>84</v>
      </c>
      <c r="AC15" s="718" t="s">
        <v>84</v>
      </c>
      <c r="AD15" s="719" t="s">
        <v>84</v>
      </c>
      <c r="AE15" s="720" t="s">
        <v>84</v>
      </c>
      <c r="AF15" s="718" t="s">
        <v>84</v>
      </c>
      <c r="AG15" s="719" t="s">
        <v>84</v>
      </c>
      <c r="AH15" s="720" t="s">
        <v>84</v>
      </c>
      <c r="AI15" s="718" t="s">
        <v>84</v>
      </c>
      <c r="AJ15" s="719" t="s">
        <v>84</v>
      </c>
      <c r="AK15" s="720" t="s">
        <v>84</v>
      </c>
      <c r="AL15" s="718" t="s">
        <v>84</v>
      </c>
      <c r="AM15" s="719" t="s">
        <v>84</v>
      </c>
      <c r="AN15" s="720" t="s">
        <v>84</v>
      </c>
      <c r="AO15" s="718" t="s">
        <v>84</v>
      </c>
      <c r="AP15" s="719" t="s">
        <v>84</v>
      </c>
      <c r="AQ15" s="720" t="s">
        <v>84</v>
      </c>
      <c r="AR15" s="718" t="s">
        <v>84</v>
      </c>
      <c r="AS15" s="719" t="s">
        <v>84</v>
      </c>
      <c r="AT15" s="720" t="s">
        <v>84</v>
      </c>
      <c r="AU15" s="718" t="s">
        <v>84</v>
      </c>
      <c r="AV15" s="719" t="s">
        <v>84</v>
      </c>
      <c r="AW15" s="720" t="s">
        <v>84</v>
      </c>
      <c r="AX15" s="718" t="s">
        <v>84</v>
      </c>
      <c r="AY15" s="719" t="s">
        <v>84</v>
      </c>
      <c r="AZ15" s="720" t="s">
        <v>84</v>
      </c>
      <c r="BA15" s="718" t="s">
        <v>84</v>
      </c>
      <c r="BB15" s="719" t="s">
        <v>84</v>
      </c>
      <c r="BC15" s="720" t="s">
        <v>84</v>
      </c>
      <c r="BD15" s="718" t="s">
        <v>84</v>
      </c>
      <c r="BE15" s="719" t="s">
        <v>84</v>
      </c>
      <c r="BF15" s="720" t="s">
        <v>84</v>
      </c>
      <c r="BG15" s="718" t="s">
        <v>84</v>
      </c>
      <c r="BH15" s="719" t="s">
        <v>84</v>
      </c>
      <c r="BI15" s="720" t="s">
        <v>84</v>
      </c>
      <c r="BJ15" s="718" t="s">
        <v>84</v>
      </c>
      <c r="BK15" s="719" t="s">
        <v>84</v>
      </c>
      <c r="BL15" s="720" t="s">
        <v>84</v>
      </c>
      <c r="BM15" s="718" t="s">
        <v>84</v>
      </c>
      <c r="BN15" s="719" t="s">
        <v>84</v>
      </c>
      <c r="BO15" s="720" t="s">
        <v>84</v>
      </c>
      <c r="BP15" s="718" t="s">
        <v>84</v>
      </c>
      <c r="BQ15" s="719" t="s">
        <v>84</v>
      </c>
      <c r="BR15" s="720" t="s">
        <v>84</v>
      </c>
      <c r="BS15" s="718" t="s">
        <v>84</v>
      </c>
      <c r="BT15" s="719" t="s">
        <v>84</v>
      </c>
      <c r="BU15" s="720" t="s">
        <v>84</v>
      </c>
      <c r="BV15" s="718" t="s">
        <v>84</v>
      </c>
      <c r="BW15" s="719" t="s">
        <v>84</v>
      </c>
      <c r="BX15" s="720" t="s">
        <v>84</v>
      </c>
      <c r="BY15" s="718" t="s">
        <v>84</v>
      </c>
      <c r="BZ15" s="719" t="s">
        <v>84</v>
      </c>
      <c r="CA15" s="720" t="s">
        <v>84</v>
      </c>
      <c r="CB15" s="570"/>
      <c r="CC15" s="724"/>
    </row>
    <row r="16" spans="1:82" x14ac:dyDescent="0.2">
      <c r="A16" s="2317"/>
      <c r="B16" s="2318"/>
      <c r="C16" s="2321"/>
      <c r="D16" s="2316" t="s">
        <v>14</v>
      </c>
      <c r="E16" s="2273"/>
      <c r="F16" s="2323" t="s">
        <v>33</v>
      </c>
      <c r="G16" s="2324"/>
      <c r="H16" s="721"/>
      <c r="I16" s="722">
        <v>117</v>
      </c>
      <c r="J16" s="723"/>
      <c r="K16" s="721"/>
      <c r="L16" s="722">
        <v>117</v>
      </c>
      <c r="M16" s="723"/>
      <c r="N16" s="721"/>
      <c r="O16" s="722">
        <v>117</v>
      </c>
      <c r="P16" s="723"/>
      <c r="Q16" s="721"/>
      <c r="R16" s="722">
        <v>117</v>
      </c>
      <c r="S16" s="723"/>
      <c r="T16" s="721"/>
      <c r="U16" s="722">
        <v>117</v>
      </c>
      <c r="V16" s="723"/>
      <c r="W16" s="721"/>
      <c r="X16" s="722">
        <v>117</v>
      </c>
      <c r="Y16" s="723"/>
      <c r="Z16" s="721"/>
      <c r="AA16" s="722">
        <v>117</v>
      </c>
      <c r="AB16" s="723"/>
      <c r="AC16" s="721"/>
      <c r="AD16" s="722">
        <v>117</v>
      </c>
      <c r="AE16" s="723"/>
      <c r="AF16" s="721"/>
      <c r="AG16" s="722">
        <v>117</v>
      </c>
      <c r="AH16" s="723"/>
      <c r="AI16" s="721"/>
      <c r="AJ16" s="722">
        <v>117</v>
      </c>
      <c r="AK16" s="723"/>
      <c r="AL16" s="721"/>
      <c r="AM16" s="722">
        <v>117</v>
      </c>
      <c r="AN16" s="723"/>
      <c r="AO16" s="721"/>
      <c r="AP16" s="722">
        <v>117</v>
      </c>
      <c r="AQ16" s="723"/>
      <c r="AR16" s="721"/>
      <c r="AS16" s="722">
        <v>117</v>
      </c>
      <c r="AT16" s="723"/>
      <c r="AU16" s="721"/>
      <c r="AV16" s="722">
        <v>117</v>
      </c>
      <c r="AW16" s="723"/>
      <c r="AX16" s="721"/>
      <c r="AY16" s="722">
        <v>117</v>
      </c>
      <c r="AZ16" s="723"/>
      <c r="BA16" s="721"/>
      <c r="BB16" s="722">
        <v>117</v>
      </c>
      <c r="BC16" s="723"/>
      <c r="BD16" s="721"/>
      <c r="BE16" s="722">
        <v>117</v>
      </c>
      <c r="BF16" s="723"/>
      <c r="BG16" s="721"/>
      <c r="BH16" s="722">
        <v>117</v>
      </c>
      <c r="BI16" s="723"/>
      <c r="BJ16" s="721"/>
      <c r="BK16" s="722">
        <v>117</v>
      </c>
      <c r="BL16" s="723"/>
      <c r="BM16" s="721"/>
      <c r="BN16" s="722">
        <v>117</v>
      </c>
      <c r="BO16" s="723"/>
      <c r="BP16" s="721"/>
      <c r="BQ16" s="722">
        <v>117</v>
      </c>
      <c r="BR16" s="723"/>
      <c r="BS16" s="721"/>
      <c r="BT16" s="722">
        <v>117</v>
      </c>
      <c r="BU16" s="723"/>
      <c r="BV16" s="721"/>
      <c r="BW16" s="722">
        <v>117</v>
      </c>
      <c r="BX16" s="723"/>
      <c r="BY16" s="721"/>
      <c r="BZ16" s="722">
        <v>117</v>
      </c>
      <c r="CA16" s="723"/>
      <c r="CB16" s="570"/>
      <c r="CC16" s="724"/>
    </row>
    <row r="17" spans="1:82" ht="13.5" thickBot="1" x14ac:dyDescent="0.25">
      <c r="A17" s="2317"/>
      <c r="B17" s="2318"/>
      <c r="C17" s="2321"/>
      <c r="D17" s="2319"/>
      <c r="E17" s="2275"/>
      <c r="F17" s="2325" t="s">
        <v>34</v>
      </c>
      <c r="G17" s="2326"/>
      <c r="H17" s="725"/>
      <c r="I17" s="726">
        <v>10.3</v>
      </c>
      <c r="J17" s="727"/>
      <c r="K17" s="725"/>
      <c r="L17" s="726">
        <v>10.3</v>
      </c>
      <c r="M17" s="727"/>
      <c r="N17" s="725"/>
      <c r="O17" s="726">
        <v>10.3</v>
      </c>
      <c r="P17" s="727"/>
      <c r="Q17" s="725"/>
      <c r="R17" s="726">
        <v>10.3</v>
      </c>
      <c r="S17" s="727"/>
      <c r="T17" s="725"/>
      <c r="U17" s="726">
        <v>10.3</v>
      </c>
      <c r="V17" s="727"/>
      <c r="W17" s="725"/>
      <c r="X17" s="726">
        <v>10.3</v>
      </c>
      <c r="Y17" s="727"/>
      <c r="Z17" s="725"/>
      <c r="AA17" s="726">
        <v>10.3</v>
      </c>
      <c r="AB17" s="727"/>
      <c r="AC17" s="725"/>
      <c r="AD17" s="726">
        <v>10.3</v>
      </c>
      <c r="AE17" s="727"/>
      <c r="AF17" s="725"/>
      <c r="AG17" s="726">
        <v>10.3</v>
      </c>
      <c r="AH17" s="727"/>
      <c r="AI17" s="725"/>
      <c r="AJ17" s="726">
        <v>10.3</v>
      </c>
      <c r="AK17" s="727"/>
      <c r="AL17" s="725"/>
      <c r="AM17" s="726">
        <v>10.3</v>
      </c>
      <c r="AN17" s="727"/>
      <c r="AO17" s="725"/>
      <c r="AP17" s="726">
        <v>10.3</v>
      </c>
      <c r="AQ17" s="727"/>
      <c r="AR17" s="725"/>
      <c r="AS17" s="726">
        <v>10.3</v>
      </c>
      <c r="AT17" s="727"/>
      <c r="AU17" s="725"/>
      <c r="AV17" s="726">
        <v>10.3</v>
      </c>
      <c r="AW17" s="727"/>
      <c r="AX17" s="725"/>
      <c r="AY17" s="726">
        <v>10.3</v>
      </c>
      <c r="AZ17" s="727"/>
      <c r="BA17" s="725"/>
      <c r="BB17" s="726">
        <v>10.3</v>
      </c>
      <c r="BC17" s="727"/>
      <c r="BD17" s="725"/>
      <c r="BE17" s="726">
        <v>10.3</v>
      </c>
      <c r="BF17" s="727"/>
      <c r="BG17" s="725"/>
      <c r="BH17" s="726">
        <v>10.3</v>
      </c>
      <c r="BI17" s="727"/>
      <c r="BJ17" s="725"/>
      <c r="BK17" s="726">
        <v>10.3</v>
      </c>
      <c r="BL17" s="727"/>
      <c r="BM17" s="725"/>
      <c r="BN17" s="726">
        <v>10.3</v>
      </c>
      <c r="BO17" s="727"/>
      <c r="BP17" s="725"/>
      <c r="BQ17" s="726">
        <v>10.3</v>
      </c>
      <c r="BR17" s="727"/>
      <c r="BS17" s="725"/>
      <c r="BT17" s="726">
        <v>10.3</v>
      </c>
      <c r="BU17" s="727"/>
      <c r="BV17" s="725"/>
      <c r="BW17" s="726">
        <v>10.3</v>
      </c>
      <c r="BX17" s="727"/>
      <c r="BY17" s="725"/>
      <c r="BZ17" s="726">
        <v>10.3</v>
      </c>
      <c r="CA17" s="727"/>
      <c r="CB17" s="570"/>
      <c r="CC17" s="728"/>
    </row>
    <row r="18" spans="1:82" ht="13.5" thickBot="1" x14ac:dyDescent="0.25">
      <c r="A18" s="2319"/>
      <c r="B18" s="2275"/>
      <c r="C18" s="2322"/>
      <c r="D18" s="2327" t="s">
        <v>207</v>
      </c>
      <c r="E18" s="2328"/>
      <c r="F18" s="2328"/>
      <c r="G18" s="2329"/>
      <c r="H18" s="729"/>
      <c r="I18" s="730">
        <v>19</v>
      </c>
      <c r="J18" s="731"/>
      <c r="K18" s="729"/>
      <c r="L18" s="730">
        <v>19</v>
      </c>
      <c r="M18" s="731"/>
      <c r="N18" s="729"/>
      <c r="O18" s="730">
        <v>19</v>
      </c>
      <c r="P18" s="731"/>
      <c r="Q18" s="729"/>
      <c r="R18" s="730">
        <v>19</v>
      </c>
      <c r="S18" s="731"/>
      <c r="T18" s="729"/>
      <c r="U18" s="730">
        <v>19</v>
      </c>
      <c r="V18" s="731"/>
      <c r="W18" s="729"/>
      <c r="X18" s="730">
        <v>19</v>
      </c>
      <c r="Y18" s="731"/>
      <c r="Z18" s="729"/>
      <c r="AA18" s="730">
        <v>19</v>
      </c>
      <c r="AB18" s="731"/>
      <c r="AC18" s="729"/>
      <c r="AD18" s="730">
        <v>19</v>
      </c>
      <c r="AE18" s="731"/>
      <c r="AF18" s="729"/>
      <c r="AG18" s="730">
        <v>19</v>
      </c>
      <c r="AH18" s="731"/>
      <c r="AI18" s="729"/>
      <c r="AJ18" s="730">
        <v>19</v>
      </c>
      <c r="AK18" s="731"/>
      <c r="AL18" s="729"/>
      <c r="AM18" s="730">
        <v>19</v>
      </c>
      <c r="AN18" s="731"/>
      <c r="AO18" s="729"/>
      <c r="AP18" s="730">
        <v>19</v>
      </c>
      <c r="AQ18" s="731"/>
      <c r="AR18" s="729"/>
      <c r="AS18" s="730">
        <v>19</v>
      </c>
      <c r="AT18" s="731"/>
      <c r="AU18" s="729"/>
      <c r="AV18" s="730">
        <v>19</v>
      </c>
      <c r="AW18" s="731"/>
      <c r="AX18" s="729"/>
      <c r="AY18" s="730">
        <v>19</v>
      </c>
      <c r="AZ18" s="731"/>
      <c r="BA18" s="729"/>
      <c r="BB18" s="730">
        <v>19</v>
      </c>
      <c r="BC18" s="731"/>
      <c r="BD18" s="729"/>
      <c r="BE18" s="730">
        <v>19</v>
      </c>
      <c r="BF18" s="731"/>
      <c r="BG18" s="729"/>
      <c r="BH18" s="730">
        <v>19</v>
      </c>
      <c r="BI18" s="731"/>
      <c r="BJ18" s="729"/>
      <c r="BK18" s="730">
        <v>19</v>
      </c>
      <c r="BL18" s="731"/>
      <c r="BM18" s="729"/>
      <c r="BN18" s="730">
        <v>19</v>
      </c>
      <c r="BO18" s="731"/>
      <c r="BP18" s="729"/>
      <c r="BQ18" s="730">
        <v>19</v>
      </c>
      <c r="BR18" s="731"/>
      <c r="BS18" s="729"/>
      <c r="BT18" s="730">
        <v>19</v>
      </c>
      <c r="BU18" s="731"/>
      <c r="BV18" s="729"/>
      <c r="BW18" s="730">
        <v>19</v>
      </c>
      <c r="BX18" s="731"/>
      <c r="BY18" s="729"/>
      <c r="BZ18" s="730">
        <v>19</v>
      </c>
      <c r="CA18" s="731"/>
      <c r="CB18" s="570"/>
      <c r="CC18" s="724"/>
    </row>
    <row r="19" spans="1:82" s="381" customFormat="1" x14ac:dyDescent="0.2">
      <c r="A19" s="2249" t="s">
        <v>100</v>
      </c>
      <c r="B19" s="2250"/>
      <c r="C19" s="2246">
        <v>0.1</v>
      </c>
      <c r="D19" s="2264" t="s">
        <v>13</v>
      </c>
      <c r="E19" s="2265"/>
      <c r="F19" s="2266"/>
      <c r="G19" s="2267"/>
      <c r="H19" s="528">
        <f>ROUND(SQRT(I19^2+J19^2)*1000/(SQRT(3)*I20),2)</f>
        <v>0</v>
      </c>
      <c r="I19" s="519">
        <v>0</v>
      </c>
      <c r="J19" s="520">
        <v>0</v>
      </c>
      <c r="K19" s="528">
        <f>ROUND(SQRT(L19^2+M19^2)*1000/(SQRT(3)*L20),2)</f>
        <v>0</v>
      </c>
      <c r="L19" s="519">
        <v>0</v>
      </c>
      <c r="M19" s="520">
        <v>0</v>
      </c>
      <c r="N19" s="528">
        <f>ROUND(SQRT(O19^2+P19^2)*1000/(SQRT(3)*O20),2)</f>
        <v>0</v>
      </c>
      <c r="O19" s="519">
        <v>0</v>
      </c>
      <c r="P19" s="520">
        <v>0</v>
      </c>
      <c r="Q19" s="528">
        <f>ROUND(SQRT(R19^2+S19^2)*1000/(SQRT(3)*R20),2)</f>
        <v>0</v>
      </c>
      <c r="R19" s="519">
        <v>0</v>
      </c>
      <c r="S19" s="520">
        <v>0</v>
      </c>
      <c r="T19" s="528">
        <f>ROUND(SQRT(U19^2+V19^2)*1000/(SQRT(3)*U20),2)</f>
        <v>0</v>
      </c>
      <c r="U19" s="519">
        <v>0</v>
      </c>
      <c r="V19" s="520">
        <v>0</v>
      </c>
      <c r="W19" s="528">
        <f>ROUND(SQRT(X19^2+Y19^2)*1000/(SQRT(3)*X20),2)</f>
        <v>0</v>
      </c>
      <c r="X19" s="519">
        <v>0</v>
      </c>
      <c r="Y19" s="520">
        <v>0</v>
      </c>
      <c r="Z19" s="528">
        <f>ROUND(SQRT(AA19^2+AB19^2)*1000/(SQRT(3)*AA20),2)</f>
        <v>0</v>
      </c>
      <c r="AA19" s="519">
        <v>0</v>
      </c>
      <c r="AB19" s="520">
        <v>0</v>
      </c>
      <c r="AC19" s="528">
        <f>ROUND(SQRT(AD19^2+AE19^2)*1000/(SQRT(3)*AD20),2)</f>
        <v>0</v>
      </c>
      <c r="AD19" s="519">
        <v>0</v>
      </c>
      <c r="AE19" s="520">
        <v>0</v>
      </c>
      <c r="AF19" s="528">
        <f>ROUND(SQRT(AG19^2+AH19^2)*1000/(SQRT(3)*AG20),2)</f>
        <v>0</v>
      </c>
      <c r="AG19" s="519">
        <v>0</v>
      </c>
      <c r="AH19" s="520">
        <v>0</v>
      </c>
      <c r="AI19" s="528">
        <f>ROUND(SQRT(AJ19^2+AK19^2)*1000/(SQRT(3)*AJ20),2)</f>
        <v>0</v>
      </c>
      <c r="AJ19" s="519">
        <v>0</v>
      </c>
      <c r="AK19" s="520">
        <v>0</v>
      </c>
      <c r="AL19" s="528">
        <f>ROUND(SQRT(AM19^2+AN19^2)*1000/(SQRT(3)*AM20),2)</f>
        <v>0</v>
      </c>
      <c r="AM19" s="519">
        <v>0</v>
      </c>
      <c r="AN19" s="520">
        <v>0</v>
      </c>
      <c r="AO19" s="528">
        <f>ROUND(SQRT(AP19^2+AQ19^2)*1000/(SQRT(3)*AP20),2)</f>
        <v>0</v>
      </c>
      <c r="AP19" s="519">
        <v>0</v>
      </c>
      <c r="AQ19" s="520">
        <v>0</v>
      </c>
      <c r="AR19" s="528">
        <f>ROUND(SQRT(AS19^2+AT19^2)*1000/(SQRT(3)*AS20),2)</f>
        <v>0</v>
      </c>
      <c r="AS19" s="519">
        <v>0</v>
      </c>
      <c r="AT19" s="520">
        <v>0</v>
      </c>
      <c r="AU19" s="528">
        <f>ROUND(SQRT(AV19^2+AW19^2)*1000/(SQRT(3)*AV20),2)</f>
        <v>0</v>
      </c>
      <c r="AV19" s="519">
        <v>0</v>
      </c>
      <c r="AW19" s="520">
        <v>0</v>
      </c>
      <c r="AX19" s="528">
        <f>ROUND(SQRT(AY19^2+AZ19^2)*1000/(SQRT(3)*AY20),2)</f>
        <v>0</v>
      </c>
      <c r="AY19" s="519">
        <v>0</v>
      </c>
      <c r="AZ19" s="520">
        <v>0</v>
      </c>
      <c r="BA19" s="528">
        <f>ROUND(SQRT(BB19^2+BC19^2)*1000/(SQRT(3)*BB20),2)</f>
        <v>0</v>
      </c>
      <c r="BB19" s="519">
        <v>0</v>
      </c>
      <c r="BC19" s="520">
        <v>0</v>
      </c>
      <c r="BD19" s="528">
        <f>ROUND(SQRT(BE19^2+BF19^2)*1000/(SQRT(3)*BE20),2)</f>
        <v>0</v>
      </c>
      <c r="BE19" s="519">
        <v>0</v>
      </c>
      <c r="BF19" s="520">
        <v>0</v>
      </c>
      <c r="BG19" s="528">
        <f>ROUND(SQRT(BH19^2+BI19^2)*1000/(SQRT(3)*BH20),2)</f>
        <v>0</v>
      </c>
      <c r="BH19" s="519">
        <v>0</v>
      </c>
      <c r="BI19" s="520">
        <v>0</v>
      </c>
      <c r="BJ19" s="528">
        <f>ROUND(SQRT(BK19^2+BL19^2)*1000/(SQRT(3)*BK20),2)</f>
        <v>0</v>
      </c>
      <c r="BK19" s="519">
        <v>0</v>
      </c>
      <c r="BL19" s="520">
        <v>0</v>
      </c>
      <c r="BM19" s="528">
        <f>ROUND(SQRT(BN19^2+BO19^2)*1000/(SQRT(3)*BN20),2)</f>
        <v>0</v>
      </c>
      <c r="BN19" s="519">
        <v>0</v>
      </c>
      <c r="BO19" s="520">
        <v>0</v>
      </c>
      <c r="BP19" s="528">
        <f>ROUND(SQRT(BQ19^2+BR19^2)*1000/(SQRT(3)*BQ20),2)</f>
        <v>0</v>
      </c>
      <c r="BQ19" s="519">
        <v>0</v>
      </c>
      <c r="BR19" s="520">
        <v>0</v>
      </c>
      <c r="BS19" s="528">
        <f>ROUND(SQRT(BT19^2+BU19^2)*1000/(SQRT(3)*BT20),2)</f>
        <v>0</v>
      </c>
      <c r="BT19" s="519">
        <v>0</v>
      </c>
      <c r="BU19" s="520">
        <v>0</v>
      </c>
      <c r="BV19" s="528">
        <f>ROUND(SQRT(BW19^2+BX19^2)*1000/(SQRT(3)*BW20),2)</f>
        <v>0</v>
      </c>
      <c r="BW19" s="519">
        <v>0</v>
      </c>
      <c r="BX19" s="520">
        <v>0</v>
      </c>
      <c r="BY19" s="528">
        <f>ROUND(SQRT(BZ19^2+CA19^2)*1000/(SQRT(3)*BZ20),2)</f>
        <v>0</v>
      </c>
      <c r="BZ19" s="519">
        <v>0</v>
      </c>
      <c r="CA19" s="520">
        <v>0</v>
      </c>
      <c r="CB19" s="515">
        <f>SUM(BZ19,BW19,BT19,BQ19,BN19,BK19,BH19,BE19,BB19,AY19,AV19,AS19,AP19,AM19,AJ19,AG19,AD19,AA19,X19,U19,R19,O19,L19,I19)</f>
        <v>0</v>
      </c>
      <c r="CC19" s="515">
        <f>SUM(CA19,BX19,BU19,BR19,BO19,BL19,BI19,BF19,BC19,AZ19,AW19,AT19,AQ19,AN19,AK19,AH19,AE19,AB19,Y19,V19,S19,P19,M19,J19)</f>
        <v>0</v>
      </c>
      <c r="CD19" s="517"/>
    </row>
    <row r="20" spans="1:82" s="381" customFormat="1" ht="13.5" thickBot="1" x14ac:dyDescent="0.25">
      <c r="A20" s="2253"/>
      <c r="B20" s="2254"/>
      <c r="C20" s="2248"/>
      <c r="D20" s="2270" t="s">
        <v>14</v>
      </c>
      <c r="E20" s="2271"/>
      <c r="F20" s="2268"/>
      <c r="G20" s="2269"/>
      <c r="H20" s="732"/>
      <c r="I20" s="733">
        <v>0.39</v>
      </c>
      <c r="J20" s="734"/>
      <c r="K20" s="732"/>
      <c r="L20" s="733">
        <v>0.39</v>
      </c>
      <c r="M20" s="734"/>
      <c r="N20" s="732"/>
      <c r="O20" s="733">
        <v>0.39</v>
      </c>
      <c r="P20" s="734"/>
      <c r="Q20" s="732"/>
      <c r="R20" s="733">
        <v>0.39</v>
      </c>
      <c r="S20" s="734"/>
      <c r="T20" s="732"/>
      <c r="U20" s="733">
        <v>0.39</v>
      </c>
      <c r="V20" s="734"/>
      <c r="W20" s="732"/>
      <c r="X20" s="733">
        <v>0.39</v>
      </c>
      <c r="Y20" s="734"/>
      <c r="Z20" s="732"/>
      <c r="AA20" s="733">
        <v>0.39</v>
      </c>
      <c r="AB20" s="734"/>
      <c r="AC20" s="732"/>
      <c r="AD20" s="733">
        <v>0.39</v>
      </c>
      <c r="AE20" s="734"/>
      <c r="AF20" s="732"/>
      <c r="AG20" s="733">
        <v>0.39</v>
      </c>
      <c r="AH20" s="734"/>
      <c r="AI20" s="732"/>
      <c r="AJ20" s="733">
        <v>0.39</v>
      </c>
      <c r="AK20" s="734"/>
      <c r="AL20" s="732"/>
      <c r="AM20" s="733">
        <v>0.39</v>
      </c>
      <c r="AN20" s="734"/>
      <c r="AO20" s="732"/>
      <c r="AP20" s="733">
        <v>0.39</v>
      </c>
      <c r="AQ20" s="734"/>
      <c r="AR20" s="732"/>
      <c r="AS20" s="733">
        <v>0.39</v>
      </c>
      <c r="AT20" s="734"/>
      <c r="AU20" s="732"/>
      <c r="AV20" s="733">
        <v>0.39</v>
      </c>
      <c r="AW20" s="734"/>
      <c r="AX20" s="732"/>
      <c r="AY20" s="733">
        <v>0.39</v>
      </c>
      <c r="AZ20" s="734"/>
      <c r="BA20" s="732"/>
      <c r="BB20" s="733">
        <v>0.39</v>
      </c>
      <c r="BC20" s="734">
        <v>0</v>
      </c>
      <c r="BD20" s="732"/>
      <c r="BE20" s="733">
        <v>0.39</v>
      </c>
      <c r="BF20" s="734"/>
      <c r="BG20" s="732"/>
      <c r="BH20" s="733">
        <v>0.39</v>
      </c>
      <c r="BI20" s="734"/>
      <c r="BJ20" s="732"/>
      <c r="BK20" s="733">
        <v>0.39</v>
      </c>
      <c r="BL20" s="734"/>
      <c r="BM20" s="732"/>
      <c r="BN20" s="733">
        <v>0.39</v>
      </c>
      <c r="BO20" s="734"/>
      <c r="BP20" s="732"/>
      <c r="BQ20" s="733">
        <v>0.39</v>
      </c>
      <c r="BR20" s="734"/>
      <c r="BS20" s="732"/>
      <c r="BT20" s="733">
        <v>0.39</v>
      </c>
      <c r="BU20" s="734"/>
      <c r="BV20" s="732"/>
      <c r="BW20" s="733">
        <v>0.39</v>
      </c>
      <c r="BX20" s="734"/>
      <c r="BY20" s="732"/>
      <c r="BZ20" s="733">
        <v>0.39</v>
      </c>
      <c r="CA20" s="734"/>
      <c r="CB20" s="570"/>
      <c r="CC20" s="724"/>
    </row>
    <row r="21" spans="1:82" s="381" customFormat="1" x14ac:dyDescent="0.2">
      <c r="A21" s="2249" t="s">
        <v>101</v>
      </c>
      <c r="B21" s="2250"/>
      <c r="C21" s="2246">
        <v>0.1</v>
      </c>
      <c r="D21" s="2264" t="s">
        <v>13</v>
      </c>
      <c r="E21" s="2265"/>
      <c r="F21" s="2266"/>
      <c r="G21" s="2267"/>
      <c r="H21" s="528">
        <f>ROUND(SQRT(I21^2+J21^2)*1000/(SQRT(3)*I22),2)</f>
        <v>0</v>
      </c>
      <c r="I21" s="519">
        <f>VLOOKUP(CONCATENATE("ОПУ . ",$A21),[1]Главная!$A$14:$BA$18,MATCH(H$4,[1]Главная!$A$6:$BA$6,0),FALSE)/1000</f>
        <v>0</v>
      </c>
      <c r="J21" s="520">
        <f>VLOOKUP(CONCATENATE("ОПУ . ",$A21),[1]Главная!$A$26:$BA$30,MATCH(H$4,[1]Главная!$A$6:$BA$6,0),FALSE)/1000</f>
        <v>0</v>
      </c>
      <c r="K21" s="528">
        <f>ROUND(SQRT(L21^2+M21^2)*1000/(SQRT(3)*L22),2)</f>
        <v>0</v>
      </c>
      <c r="L21" s="519">
        <v>0</v>
      </c>
      <c r="M21" s="520">
        <v>0</v>
      </c>
      <c r="N21" s="528">
        <f>ROUND(SQRT(O21^2+P21^2)*1000/(SQRT(3)*O22),2)</f>
        <v>0</v>
      </c>
      <c r="O21" s="519">
        <v>0</v>
      </c>
      <c r="P21" s="520">
        <v>0</v>
      </c>
      <c r="Q21" s="528">
        <f>ROUND(SQRT(R21^2+S21^2)*1000/(SQRT(3)*R22),2)</f>
        <v>0</v>
      </c>
      <c r="R21" s="519">
        <v>0</v>
      </c>
      <c r="S21" s="520">
        <v>0</v>
      </c>
      <c r="T21" s="528">
        <f>ROUND(SQRT(U21^2+V21^2)*1000/(SQRT(3)*U22),2)</f>
        <v>0</v>
      </c>
      <c r="U21" s="519">
        <v>0</v>
      </c>
      <c r="V21" s="520">
        <v>0</v>
      </c>
      <c r="W21" s="528">
        <f>ROUND(SQRT(X21^2+Y21^2)*1000/(SQRT(3)*X22),2)</f>
        <v>0</v>
      </c>
      <c r="X21" s="519">
        <v>0</v>
      </c>
      <c r="Y21" s="520">
        <v>0</v>
      </c>
      <c r="Z21" s="528">
        <f>ROUND(SQRT(AA21^2+AB21^2)*1000/(SQRT(3)*AA22),2)</f>
        <v>0</v>
      </c>
      <c r="AA21" s="519">
        <v>0</v>
      </c>
      <c r="AB21" s="520">
        <v>0</v>
      </c>
      <c r="AC21" s="528">
        <f>ROUND(SQRT(AD21^2+AE21^2)*1000/(SQRT(3)*AD22),2)</f>
        <v>0</v>
      </c>
      <c r="AD21" s="519">
        <v>0</v>
      </c>
      <c r="AE21" s="520">
        <v>0</v>
      </c>
      <c r="AF21" s="528">
        <f>ROUND(SQRT(AG21^2+AH21^2)*1000/(SQRT(3)*AG22),2)</f>
        <v>0</v>
      </c>
      <c r="AG21" s="519">
        <v>0</v>
      </c>
      <c r="AH21" s="520">
        <v>0</v>
      </c>
      <c r="AI21" s="528">
        <f>ROUND(SQRT(AJ21^2+AK21^2)*1000/(SQRT(3)*AJ22),2)</f>
        <v>0</v>
      </c>
      <c r="AJ21" s="519">
        <v>0</v>
      </c>
      <c r="AK21" s="520">
        <v>0</v>
      </c>
      <c r="AL21" s="528">
        <f>ROUND(SQRT(AM21^2+AN21^2)*1000/(SQRT(3)*AM22),2)</f>
        <v>0</v>
      </c>
      <c r="AM21" s="519">
        <v>0</v>
      </c>
      <c r="AN21" s="520">
        <v>0</v>
      </c>
      <c r="AO21" s="528">
        <f>ROUND(SQRT(AP21^2+AQ21^2)*1000/(SQRT(3)*AP22),2)</f>
        <v>0</v>
      </c>
      <c r="AP21" s="519">
        <v>0</v>
      </c>
      <c r="AQ21" s="520">
        <v>0</v>
      </c>
      <c r="AR21" s="528">
        <f>ROUND(SQRT(AS21^2+AT21^2)*1000/(SQRT(3)*AS22),2)</f>
        <v>0</v>
      </c>
      <c r="AS21" s="519">
        <v>0</v>
      </c>
      <c r="AT21" s="520">
        <v>0</v>
      </c>
      <c r="AU21" s="528">
        <f>ROUND(SQRT(AV21^2+AW21^2)*1000/(SQRT(3)*AV22),2)</f>
        <v>0</v>
      </c>
      <c r="AV21" s="519">
        <v>0</v>
      </c>
      <c r="AW21" s="520">
        <v>0</v>
      </c>
      <c r="AX21" s="528">
        <f>ROUND(SQRT(AY21^2+AZ21^2)*1000/(SQRT(3)*AY22),2)</f>
        <v>0</v>
      </c>
      <c r="AY21" s="519">
        <v>0</v>
      </c>
      <c r="AZ21" s="520">
        <v>0</v>
      </c>
      <c r="BA21" s="528">
        <f>ROUND(SQRT(BB21^2+BC21^2)*1000/(SQRT(3)*BB22),2)</f>
        <v>0</v>
      </c>
      <c r="BB21" s="519">
        <v>0</v>
      </c>
      <c r="BC21" s="520">
        <v>0</v>
      </c>
      <c r="BD21" s="528">
        <f>ROUND(SQRT(BE21^2+BF21^2)*1000/(SQRT(3)*BE22),2)</f>
        <v>0</v>
      </c>
      <c r="BE21" s="519">
        <v>0</v>
      </c>
      <c r="BF21" s="520">
        <v>0</v>
      </c>
      <c r="BG21" s="528">
        <f>ROUND(SQRT(BH21^2+BI21^2)*1000/(SQRT(3)*BH22),2)</f>
        <v>0</v>
      </c>
      <c r="BH21" s="519">
        <v>0</v>
      </c>
      <c r="BI21" s="520">
        <v>0</v>
      </c>
      <c r="BJ21" s="528">
        <f>ROUND(SQRT(BK21^2+BL21^2)*1000/(SQRT(3)*BK22),2)</f>
        <v>0</v>
      </c>
      <c r="BK21" s="519">
        <v>0</v>
      </c>
      <c r="BL21" s="520">
        <v>0</v>
      </c>
      <c r="BM21" s="528">
        <f>ROUND(SQRT(BN21^2+BO21^2)*1000/(SQRT(3)*BN22),2)</f>
        <v>0</v>
      </c>
      <c r="BN21" s="519">
        <v>0</v>
      </c>
      <c r="BO21" s="520">
        <v>0</v>
      </c>
      <c r="BP21" s="528">
        <f>ROUND(SQRT(BQ21^2+BR21^2)*1000/(SQRT(3)*BQ22),2)</f>
        <v>0</v>
      </c>
      <c r="BQ21" s="519">
        <v>0</v>
      </c>
      <c r="BR21" s="520">
        <v>0</v>
      </c>
      <c r="BS21" s="528">
        <f>ROUND(SQRT(BT21^2+BU21^2)*1000/(SQRT(3)*BT22),2)</f>
        <v>0</v>
      </c>
      <c r="BT21" s="519">
        <v>0</v>
      </c>
      <c r="BU21" s="520">
        <v>0</v>
      </c>
      <c r="BV21" s="528">
        <f>ROUND(SQRT(BW21^2+BX21^2)*1000/(SQRT(3)*BW22),2)</f>
        <v>0</v>
      </c>
      <c r="BW21" s="519">
        <v>0</v>
      </c>
      <c r="BX21" s="520">
        <v>0</v>
      </c>
      <c r="BY21" s="528">
        <f>ROUND(SQRT(BZ21^2+CA21^2)*1000/(SQRT(3)*BZ22),2)</f>
        <v>0</v>
      </c>
      <c r="BZ21" s="519">
        <v>0</v>
      </c>
      <c r="CA21" s="520">
        <v>0</v>
      </c>
      <c r="CB21" s="717">
        <f>SUM(BZ21,BW21,BT21,BQ21,BN21,BK21,BH21,BE21,BB21,AY21,AV21,AS21,AP21,AM21,AJ21,AG21,AD21,AA21,X21,U21,R21,O21,L21,I21)</f>
        <v>0</v>
      </c>
      <c r="CC21" s="735">
        <f>SUM(CA21,BX21,BU21,BR21,BO21,BL21,BI21,BF21,BC21,AZ21,AW21,AT21,AQ21,AN21,AK21,AH21,AE21,AB21,Y21,V21,S21,P21,M21,J21)</f>
        <v>0</v>
      </c>
      <c r="CD21" s="517"/>
    </row>
    <row r="22" spans="1:82" s="381" customFormat="1" ht="13.5" thickBot="1" x14ac:dyDescent="0.25">
      <c r="A22" s="2253"/>
      <c r="B22" s="2254"/>
      <c r="C22" s="2248"/>
      <c r="D22" s="2270" t="s">
        <v>14</v>
      </c>
      <c r="E22" s="2271"/>
      <c r="F22" s="2268"/>
      <c r="G22" s="2269"/>
      <c r="H22" s="732"/>
      <c r="I22" s="733">
        <v>0.39</v>
      </c>
      <c r="J22" s="734"/>
      <c r="K22" s="732"/>
      <c r="L22" s="733">
        <v>0.39</v>
      </c>
      <c r="M22" s="734"/>
      <c r="N22" s="732"/>
      <c r="O22" s="733">
        <v>0.39</v>
      </c>
      <c r="P22" s="734"/>
      <c r="Q22" s="732"/>
      <c r="R22" s="733">
        <v>0.39</v>
      </c>
      <c r="S22" s="734"/>
      <c r="T22" s="732"/>
      <c r="U22" s="733">
        <v>0.39</v>
      </c>
      <c r="V22" s="734"/>
      <c r="W22" s="732"/>
      <c r="X22" s="733">
        <v>0.39</v>
      </c>
      <c r="Y22" s="734"/>
      <c r="Z22" s="732"/>
      <c r="AA22" s="733">
        <v>0.39</v>
      </c>
      <c r="AB22" s="734"/>
      <c r="AC22" s="732"/>
      <c r="AD22" s="733">
        <v>0.39</v>
      </c>
      <c r="AE22" s="734"/>
      <c r="AF22" s="732"/>
      <c r="AG22" s="733">
        <v>0.39</v>
      </c>
      <c r="AH22" s="734"/>
      <c r="AI22" s="732"/>
      <c r="AJ22" s="733">
        <v>0.39</v>
      </c>
      <c r="AK22" s="734"/>
      <c r="AL22" s="732"/>
      <c r="AM22" s="733">
        <v>0.39</v>
      </c>
      <c r="AN22" s="734"/>
      <c r="AO22" s="732"/>
      <c r="AP22" s="733">
        <v>0.39</v>
      </c>
      <c r="AQ22" s="734"/>
      <c r="AR22" s="732"/>
      <c r="AS22" s="733">
        <v>0.39</v>
      </c>
      <c r="AT22" s="734"/>
      <c r="AU22" s="732"/>
      <c r="AV22" s="733">
        <v>0.39</v>
      </c>
      <c r="AW22" s="734"/>
      <c r="AX22" s="732"/>
      <c r="AY22" s="733">
        <v>0.39</v>
      </c>
      <c r="AZ22" s="734"/>
      <c r="BA22" s="732"/>
      <c r="BB22" s="733">
        <v>0.39</v>
      </c>
      <c r="BC22" s="734"/>
      <c r="BD22" s="732"/>
      <c r="BE22" s="733">
        <v>0.39</v>
      </c>
      <c r="BF22" s="734"/>
      <c r="BG22" s="732"/>
      <c r="BH22" s="733">
        <v>0.39</v>
      </c>
      <c r="BI22" s="734"/>
      <c r="BJ22" s="732"/>
      <c r="BK22" s="733">
        <v>0.39</v>
      </c>
      <c r="BL22" s="734"/>
      <c r="BM22" s="732"/>
      <c r="BN22" s="733">
        <v>0.39</v>
      </c>
      <c r="BO22" s="734"/>
      <c r="BP22" s="732"/>
      <c r="BQ22" s="733">
        <v>0.39</v>
      </c>
      <c r="BR22" s="734"/>
      <c r="BS22" s="732"/>
      <c r="BT22" s="733">
        <v>0.39</v>
      </c>
      <c r="BU22" s="734"/>
      <c r="BV22" s="732"/>
      <c r="BW22" s="733">
        <v>0.39</v>
      </c>
      <c r="BX22" s="734"/>
      <c r="BY22" s="732"/>
      <c r="BZ22" s="733">
        <v>0.39</v>
      </c>
      <c r="CA22" s="734"/>
      <c r="CB22" s="570"/>
      <c r="CC22" s="724"/>
    </row>
    <row r="23" spans="1:82" x14ac:dyDescent="0.2">
      <c r="A23" s="2272" t="s">
        <v>35</v>
      </c>
      <c r="B23" s="2272"/>
      <c r="C23" s="2273"/>
      <c r="D23" s="2276" t="s">
        <v>33</v>
      </c>
      <c r="E23" s="2277"/>
      <c r="F23" s="2277"/>
      <c r="G23" s="2278"/>
      <c r="H23" s="714" t="s">
        <v>84</v>
      </c>
      <c r="I23" s="715" t="s">
        <v>84</v>
      </c>
      <c r="J23" s="716" t="s">
        <v>84</v>
      </c>
      <c r="K23" s="714" t="s">
        <v>84</v>
      </c>
      <c r="L23" s="715" t="s">
        <v>84</v>
      </c>
      <c r="M23" s="716" t="s">
        <v>84</v>
      </c>
      <c r="N23" s="714" t="s">
        <v>84</v>
      </c>
      <c r="O23" s="715" t="s">
        <v>84</v>
      </c>
      <c r="P23" s="716" t="s">
        <v>84</v>
      </c>
      <c r="Q23" s="714" t="s">
        <v>84</v>
      </c>
      <c r="R23" s="715" t="s">
        <v>84</v>
      </c>
      <c r="S23" s="716" t="s">
        <v>84</v>
      </c>
      <c r="T23" s="714" t="s">
        <v>84</v>
      </c>
      <c r="U23" s="715" t="s">
        <v>84</v>
      </c>
      <c r="V23" s="716" t="s">
        <v>84</v>
      </c>
      <c r="W23" s="714" t="s">
        <v>84</v>
      </c>
      <c r="X23" s="715" t="s">
        <v>84</v>
      </c>
      <c r="Y23" s="716" t="s">
        <v>84</v>
      </c>
      <c r="Z23" s="714" t="s">
        <v>84</v>
      </c>
      <c r="AA23" s="715" t="s">
        <v>84</v>
      </c>
      <c r="AB23" s="716" t="s">
        <v>84</v>
      </c>
      <c r="AC23" s="714" t="s">
        <v>84</v>
      </c>
      <c r="AD23" s="715" t="s">
        <v>84</v>
      </c>
      <c r="AE23" s="716" t="s">
        <v>84</v>
      </c>
      <c r="AF23" s="714" t="s">
        <v>84</v>
      </c>
      <c r="AG23" s="715" t="s">
        <v>84</v>
      </c>
      <c r="AH23" s="716" t="s">
        <v>84</v>
      </c>
      <c r="AI23" s="714" t="s">
        <v>84</v>
      </c>
      <c r="AJ23" s="715" t="s">
        <v>84</v>
      </c>
      <c r="AK23" s="716" t="s">
        <v>84</v>
      </c>
      <c r="AL23" s="714" t="s">
        <v>84</v>
      </c>
      <c r="AM23" s="715" t="s">
        <v>84</v>
      </c>
      <c r="AN23" s="716" t="s">
        <v>84</v>
      </c>
      <c r="AO23" s="714" t="s">
        <v>84</v>
      </c>
      <c r="AP23" s="715" t="s">
        <v>84</v>
      </c>
      <c r="AQ23" s="716" t="s">
        <v>84</v>
      </c>
      <c r="AR23" s="714" t="s">
        <v>84</v>
      </c>
      <c r="AS23" s="715" t="s">
        <v>84</v>
      </c>
      <c r="AT23" s="716" t="s">
        <v>84</v>
      </c>
      <c r="AU23" s="714" t="s">
        <v>84</v>
      </c>
      <c r="AV23" s="715" t="s">
        <v>84</v>
      </c>
      <c r="AW23" s="716" t="s">
        <v>84</v>
      </c>
      <c r="AX23" s="714" t="s">
        <v>84</v>
      </c>
      <c r="AY23" s="715" t="s">
        <v>84</v>
      </c>
      <c r="AZ23" s="716" t="s">
        <v>84</v>
      </c>
      <c r="BA23" s="714" t="s">
        <v>84</v>
      </c>
      <c r="BB23" s="715" t="s">
        <v>84</v>
      </c>
      <c r="BC23" s="716" t="s">
        <v>84</v>
      </c>
      <c r="BD23" s="714" t="s">
        <v>84</v>
      </c>
      <c r="BE23" s="715" t="s">
        <v>84</v>
      </c>
      <c r="BF23" s="716" t="s">
        <v>84</v>
      </c>
      <c r="BG23" s="714" t="s">
        <v>84</v>
      </c>
      <c r="BH23" s="715" t="s">
        <v>84</v>
      </c>
      <c r="BI23" s="716" t="s">
        <v>84</v>
      </c>
      <c r="BJ23" s="714" t="s">
        <v>84</v>
      </c>
      <c r="BK23" s="715" t="s">
        <v>84</v>
      </c>
      <c r="BL23" s="716" t="s">
        <v>84</v>
      </c>
      <c r="BM23" s="714" t="s">
        <v>84</v>
      </c>
      <c r="BN23" s="715" t="s">
        <v>84</v>
      </c>
      <c r="BO23" s="716" t="s">
        <v>84</v>
      </c>
      <c r="BP23" s="714" t="s">
        <v>84</v>
      </c>
      <c r="BQ23" s="715" t="s">
        <v>84</v>
      </c>
      <c r="BR23" s="716" t="s">
        <v>84</v>
      </c>
      <c r="BS23" s="714" t="s">
        <v>84</v>
      </c>
      <c r="BT23" s="715" t="s">
        <v>84</v>
      </c>
      <c r="BU23" s="716" t="s">
        <v>84</v>
      </c>
      <c r="BV23" s="714" t="s">
        <v>84</v>
      </c>
      <c r="BW23" s="715" t="s">
        <v>84</v>
      </c>
      <c r="BX23" s="716" t="s">
        <v>84</v>
      </c>
      <c r="BY23" s="714" t="s">
        <v>84</v>
      </c>
      <c r="BZ23" s="715" t="s">
        <v>84</v>
      </c>
      <c r="CA23" s="716" t="s">
        <v>84</v>
      </c>
      <c r="CB23" s="570"/>
    </row>
    <row r="24" spans="1:82" ht="13.5" thickBot="1" x14ac:dyDescent="0.25">
      <c r="A24" s="2274"/>
      <c r="B24" s="2274"/>
      <c r="C24" s="2275"/>
      <c r="D24" s="2279" t="s">
        <v>34</v>
      </c>
      <c r="E24" s="2280"/>
      <c r="F24" s="2280"/>
      <c r="G24" s="2281"/>
      <c r="H24" s="736">
        <f>H8+H14</f>
        <v>22.23</v>
      </c>
      <c r="I24" s="578">
        <f>I8+I14</f>
        <v>0.3906</v>
      </c>
      <c r="J24" s="737">
        <f>J8+J14</f>
        <v>6.8399999999999989E-2</v>
      </c>
      <c r="K24" s="736">
        <f t="shared" ref="K24:BV24" si="0">K8+K14</f>
        <v>22.11</v>
      </c>
      <c r="L24" s="578">
        <f t="shared" si="0"/>
        <v>0.38819999999999999</v>
      </c>
      <c r="M24" s="737">
        <f t="shared" si="0"/>
        <v>6.9599999999999995E-2</v>
      </c>
      <c r="N24" s="736">
        <f t="shared" si="0"/>
        <v>21.43</v>
      </c>
      <c r="O24" s="578">
        <f t="shared" si="0"/>
        <v>0.37619999999999998</v>
      </c>
      <c r="P24" s="737">
        <f t="shared" si="0"/>
        <v>6.7499999999999991E-2</v>
      </c>
      <c r="Q24" s="736">
        <f t="shared" si="0"/>
        <v>21.23</v>
      </c>
      <c r="R24" s="578">
        <f t="shared" si="0"/>
        <v>0.37290000000000001</v>
      </c>
      <c r="S24" s="737">
        <f t="shared" si="0"/>
        <v>6.6299999999999998E-2</v>
      </c>
      <c r="T24" s="736">
        <f t="shared" si="0"/>
        <v>21.509999999999998</v>
      </c>
      <c r="U24" s="578">
        <f t="shared" si="0"/>
        <v>0.37830000000000003</v>
      </c>
      <c r="V24" s="737">
        <f t="shared" si="0"/>
        <v>6.4500000000000002E-2</v>
      </c>
      <c r="W24" s="736">
        <f t="shared" si="0"/>
        <v>22.46</v>
      </c>
      <c r="X24" s="578">
        <f t="shared" si="0"/>
        <v>0.39390000000000003</v>
      </c>
      <c r="Y24" s="737">
        <f t="shared" si="0"/>
        <v>7.2599999999999998E-2</v>
      </c>
      <c r="Z24" s="736">
        <f t="shared" si="0"/>
        <v>25.51</v>
      </c>
      <c r="AA24" s="578">
        <f t="shared" si="0"/>
        <v>0.4476</v>
      </c>
      <c r="AB24" s="737">
        <f t="shared" si="0"/>
        <v>8.0699999999999994E-2</v>
      </c>
      <c r="AC24" s="736">
        <f t="shared" si="0"/>
        <v>27.11</v>
      </c>
      <c r="AD24" s="578">
        <f t="shared" si="0"/>
        <v>0.47669999999999996</v>
      </c>
      <c r="AE24" s="737">
        <f t="shared" si="0"/>
        <v>8.0100000000000005E-2</v>
      </c>
      <c r="AF24" s="736">
        <f t="shared" si="0"/>
        <v>28.2</v>
      </c>
      <c r="AG24" s="578">
        <f t="shared" si="0"/>
        <v>0.4965</v>
      </c>
      <c r="AH24" s="737">
        <f t="shared" si="0"/>
        <v>8.0699999999999994E-2</v>
      </c>
      <c r="AI24" s="736">
        <f t="shared" si="0"/>
        <v>29.490000000000002</v>
      </c>
      <c r="AJ24" s="578">
        <f t="shared" si="0"/>
        <v>0.52079999999999993</v>
      </c>
      <c r="AK24" s="737">
        <f t="shared" si="0"/>
        <v>7.5000000000000011E-2</v>
      </c>
      <c r="AL24" s="736">
        <f t="shared" si="0"/>
        <v>28.659999999999997</v>
      </c>
      <c r="AM24" s="578">
        <f t="shared" si="0"/>
        <v>0.50609999999999999</v>
      </c>
      <c r="AN24" s="737">
        <f t="shared" si="0"/>
        <v>7.2000000000000008E-2</v>
      </c>
      <c r="AO24" s="736">
        <f t="shared" si="0"/>
        <v>27.560000000000002</v>
      </c>
      <c r="AP24" s="578">
        <f t="shared" si="0"/>
        <v>0.48630000000000001</v>
      </c>
      <c r="AQ24" s="737">
        <f t="shared" si="0"/>
        <v>7.2300000000000003E-2</v>
      </c>
      <c r="AR24" s="736">
        <f t="shared" si="0"/>
        <v>26.45</v>
      </c>
      <c r="AS24" s="578">
        <f t="shared" si="0"/>
        <v>0.46740000000000004</v>
      </c>
      <c r="AT24" s="737">
        <f t="shared" si="0"/>
        <v>6.4500000000000002E-2</v>
      </c>
      <c r="AU24" s="736">
        <f t="shared" si="0"/>
        <v>25.82</v>
      </c>
      <c r="AV24" s="578">
        <f t="shared" si="0"/>
        <v>0.45569999999999999</v>
      </c>
      <c r="AW24" s="737">
        <f t="shared" si="0"/>
        <v>6.7199999999999996E-2</v>
      </c>
      <c r="AX24" s="736">
        <f t="shared" si="0"/>
        <v>25.75</v>
      </c>
      <c r="AY24" s="578">
        <f t="shared" si="0"/>
        <v>0.45509999999999995</v>
      </c>
      <c r="AZ24" s="737">
        <f t="shared" si="0"/>
        <v>6.1800000000000008E-2</v>
      </c>
      <c r="BA24" s="736">
        <f t="shared" si="0"/>
        <v>26.68</v>
      </c>
      <c r="BB24" s="578">
        <f t="shared" si="0"/>
        <v>0.47160000000000002</v>
      </c>
      <c r="BC24" s="737">
        <f t="shared" si="0"/>
        <v>6.4500000000000002E-2</v>
      </c>
      <c r="BD24" s="736">
        <f t="shared" si="0"/>
        <v>28.740000000000002</v>
      </c>
      <c r="BE24" s="578">
        <f t="shared" si="0"/>
        <v>0.50580000000000003</v>
      </c>
      <c r="BF24" s="737">
        <f t="shared" si="0"/>
        <v>8.3100000000000007E-2</v>
      </c>
      <c r="BG24" s="736">
        <f t="shared" si="0"/>
        <v>28.42</v>
      </c>
      <c r="BH24" s="578">
        <f t="shared" si="0"/>
        <v>0.49950000000000006</v>
      </c>
      <c r="BI24" s="737">
        <f t="shared" si="0"/>
        <v>8.6400000000000005E-2</v>
      </c>
      <c r="BJ24" s="736">
        <f t="shared" si="0"/>
        <v>27.910000000000004</v>
      </c>
      <c r="BK24" s="578">
        <f t="shared" si="0"/>
        <v>0.49019999999999997</v>
      </c>
      <c r="BL24" s="737">
        <f t="shared" si="0"/>
        <v>8.5800000000000015E-2</v>
      </c>
      <c r="BM24" s="736">
        <f t="shared" si="0"/>
        <v>27.96</v>
      </c>
      <c r="BN24" s="578">
        <f t="shared" si="0"/>
        <v>0.49050000000000005</v>
      </c>
      <c r="BO24" s="737">
        <f t="shared" si="0"/>
        <v>8.9099999999999999E-2</v>
      </c>
      <c r="BP24" s="736">
        <f t="shared" si="0"/>
        <v>27.68</v>
      </c>
      <c r="BQ24" s="578">
        <f t="shared" si="0"/>
        <v>0.48659999999999998</v>
      </c>
      <c r="BR24" s="737">
        <f t="shared" si="0"/>
        <v>8.3700000000000011E-2</v>
      </c>
      <c r="BS24" s="736">
        <f t="shared" si="0"/>
        <v>27.42</v>
      </c>
      <c r="BT24" s="578">
        <f t="shared" si="0"/>
        <v>0.48119999999999996</v>
      </c>
      <c r="BU24" s="737">
        <f t="shared" si="0"/>
        <v>8.7900000000000006E-2</v>
      </c>
      <c r="BV24" s="736">
        <f t="shared" si="0"/>
        <v>27.05</v>
      </c>
      <c r="BW24" s="578">
        <f>BW8+BW14</f>
        <v>0.47520000000000001</v>
      </c>
      <c r="BX24" s="737">
        <f>BX8+BX14</f>
        <v>8.1900000000000001E-2</v>
      </c>
      <c r="BY24" s="736">
        <f>BY8+BY14</f>
        <v>25.009999999999998</v>
      </c>
      <c r="BZ24" s="578">
        <f>BZ8+BZ14</f>
        <v>0.43799999999999994</v>
      </c>
      <c r="CA24" s="737">
        <f>CA8+CA14</f>
        <v>8.3999999999999991E-2</v>
      </c>
      <c r="CB24" s="570"/>
    </row>
    <row r="25" spans="1:82" x14ac:dyDescent="0.2">
      <c r="A25" s="738" t="s">
        <v>208</v>
      </c>
      <c r="B25" s="739"/>
      <c r="C25" s="740">
        <f>(I8+L8+O8+R8+U8+X8+AA8+AD8+AG8+AJ8+AM8+AP8+AS8+AV8+AY8+BB8+BE8+BH8+BK8+BN8+BQ8+BT8+BW8+BZ8)/SQRT((I8+L8+O8+R8+U8+X8+AA8+AD8+AG8+AJ8+AM8+AP8+AS8+AV8+AY8+BB8+BE8+BH8+BK8+BN8+BQ8+BT8+BW8+BZ8)^2+(J8+M8+P8+S8+V8+Y8+AB8+AE8+AH8+AK8+AN8+AQ8+AT8+AW8+BC8+AZ8+BF8+BI8+BL8+BO8+BR8+BU8+BX8+CA8)^2)</f>
        <v>0.98928246489408933</v>
      </c>
      <c r="D25" s="741" t="s">
        <v>185</v>
      </c>
      <c r="E25" s="2337">
        <f>(J8+M8+P8+S8+V8+Y8+AB8+AE8+AH8+AK8+AN8+AQ8+AT8+AW8+BC8+AZ8+BF8+BI8+BL8+BO8+BR8+BU8+BX8+CA8)/(I8+L8+O8+R8+U8+X8+AA8+AD8+AG8+AJ8+AM8+AP8+AS8+AV8+AY8+BB8+BE8+BH8+BK8+BN8+BQ8+BT8+BW8+BZ8)</f>
        <v>0.14759626695945419</v>
      </c>
      <c r="F25" s="2337"/>
      <c r="G25" s="541"/>
      <c r="H25" s="537"/>
      <c r="I25" s="742"/>
      <c r="J25" s="541"/>
      <c r="K25" s="537"/>
      <c r="L25" s="742"/>
      <c r="M25" s="541"/>
      <c r="N25" s="537"/>
      <c r="O25" s="742"/>
      <c r="P25" s="541"/>
      <c r="Q25" s="537"/>
      <c r="R25" s="742"/>
      <c r="S25" s="541"/>
      <c r="T25" s="537"/>
      <c r="U25" s="742"/>
      <c r="V25" s="541"/>
      <c r="W25" s="537"/>
      <c r="X25" s="742"/>
      <c r="Y25" s="541"/>
      <c r="Z25" s="537"/>
      <c r="AA25" s="742"/>
      <c r="AB25" s="541"/>
      <c r="AC25" s="537"/>
      <c r="AD25" s="742"/>
      <c r="AE25" s="541"/>
      <c r="AF25" s="537"/>
      <c r="AG25" s="742"/>
      <c r="AH25" s="541"/>
      <c r="AI25" s="537"/>
      <c r="AJ25" s="742"/>
      <c r="AK25" s="541"/>
      <c r="AL25" s="537"/>
      <c r="AM25" s="742"/>
      <c r="AN25" s="541"/>
      <c r="AO25" s="537"/>
      <c r="AP25" s="742"/>
      <c r="AQ25" s="541"/>
      <c r="AR25" s="537"/>
      <c r="AS25" s="742"/>
      <c r="AT25" s="541"/>
      <c r="AU25" s="537"/>
      <c r="AV25" s="742"/>
      <c r="AW25" s="541"/>
      <c r="AX25" s="537"/>
      <c r="AY25" s="742"/>
      <c r="AZ25" s="541"/>
      <c r="BA25" s="537"/>
      <c r="BB25" s="742"/>
      <c r="BC25" s="541"/>
      <c r="BD25" s="537"/>
      <c r="BE25" s="742"/>
      <c r="BF25" s="541"/>
      <c r="BG25" s="537"/>
      <c r="BH25" s="742"/>
      <c r="BI25" s="541"/>
      <c r="BJ25" s="537"/>
      <c r="BK25" s="742"/>
      <c r="BL25" s="541"/>
      <c r="BM25" s="537"/>
      <c r="BN25" s="742"/>
      <c r="BO25" s="541"/>
      <c r="BP25" s="537"/>
      <c r="BQ25" s="742"/>
      <c r="BR25" s="541"/>
      <c r="BS25" s="537"/>
      <c r="BT25" s="742"/>
      <c r="BU25" s="541"/>
      <c r="BV25" s="537"/>
      <c r="BW25" s="742"/>
      <c r="BX25" s="541"/>
      <c r="BY25" s="537"/>
      <c r="BZ25" s="742"/>
      <c r="CA25" s="541"/>
      <c r="CB25" s="570"/>
    </row>
    <row r="26" spans="1:82" ht="13.5" thickBot="1" x14ac:dyDescent="0.25">
      <c r="A26" s="743" t="s">
        <v>209</v>
      </c>
      <c r="B26" s="744"/>
      <c r="C26" s="745">
        <f>(I14+L14+O14+R14+U14+X14+AA14+AD14+AG14+AJ14+AM14+AP14+AS14+AV14+AY14+BB14+BE14+BH14+BK14+BN14+BQ14+BT14+BW14+BZ14)/SQRT((I14+L14+O14+R14+U14+X14+AA14+AD14+AG14+AJ14+AM14+AP14+AS14+AV14+AY14+BB14+BE14+BH14+BK14+BN14+BQ14+BT14+BW14+BZ14)^2+(J14+M14+P14+S14+V14+Y14+AB14+AE14+AH14+AK14+AN14+AQ14+AT14+AW14+BC14+AZ14+BF14+BI14+BL14+BO14+BR14+BU14+BX14+CA14)^2)</f>
        <v>0.98507690976080065</v>
      </c>
      <c r="D26" s="746" t="s">
        <v>185</v>
      </c>
      <c r="E26" s="2338">
        <f>(J14+M14+P14+S14+V14+Y14+AB14+AE14+AH14+AK14+AN14+AQ14+AT14+AW14+BC14+AZ14+BF14+BI14+BL14+BO14+BR14+BU14+BX14+CA14)/(I14+L14+O14+R14+U14+X14+AA14+AD14+AG14+AJ14+AM14+AP14+AS14+AV14+AY14+BB14+BE14+BH14+BK14+BN14+BQ14+BT14+BW14+BZ14)</f>
        <v>0.17472212866284945</v>
      </c>
      <c r="F26" s="2338"/>
      <c r="G26" s="549"/>
      <c r="H26" s="545"/>
      <c r="I26" s="546"/>
      <c r="J26" s="549"/>
      <c r="K26" s="545"/>
      <c r="L26" s="546"/>
      <c r="M26" s="549"/>
      <c r="N26" s="545"/>
      <c r="O26" s="546"/>
      <c r="P26" s="549"/>
      <c r="Q26" s="545"/>
      <c r="R26" s="546"/>
      <c r="S26" s="549"/>
      <c r="T26" s="545"/>
      <c r="U26" s="546"/>
      <c r="V26" s="549"/>
      <c r="W26" s="545"/>
      <c r="X26" s="546"/>
      <c r="Y26" s="549"/>
      <c r="Z26" s="545"/>
      <c r="AA26" s="546"/>
      <c r="AB26" s="549"/>
      <c r="AC26" s="545"/>
      <c r="AD26" s="546"/>
      <c r="AE26" s="549"/>
      <c r="AF26" s="545"/>
      <c r="AG26" s="546"/>
      <c r="AH26" s="549"/>
      <c r="AI26" s="545"/>
      <c r="AJ26" s="546"/>
      <c r="AK26" s="549"/>
      <c r="AL26" s="545"/>
      <c r="AM26" s="546"/>
      <c r="AN26" s="549"/>
      <c r="AO26" s="545"/>
      <c r="AP26" s="546"/>
      <c r="AQ26" s="549"/>
      <c r="AR26" s="545"/>
      <c r="AS26" s="546"/>
      <c r="AT26" s="549"/>
      <c r="AU26" s="545"/>
      <c r="AV26" s="546"/>
      <c r="AW26" s="549"/>
      <c r="AX26" s="545"/>
      <c r="AY26" s="546"/>
      <c r="AZ26" s="549"/>
      <c r="BA26" s="545"/>
      <c r="BB26" s="546"/>
      <c r="BC26" s="549"/>
      <c r="BD26" s="545"/>
      <c r="BE26" s="546"/>
      <c r="BF26" s="549"/>
      <c r="BG26" s="545"/>
      <c r="BH26" s="546"/>
      <c r="BI26" s="549"/>
      <c r="BJ26" s="545"/>
      <c r="BK26" s="546"/>
      <c r="BL26" s="549"/>
      <c r="BM26" s="545"/>
      <c r="BN26" s="546"/>
      <c r="BO26" s="549"/>
      <c r="BP26" s="545"/>
      <c r="BQ26" s="546"/>
      <c r="BR26" s="549"/>
      <c r="BS26" s="545"/>
      <c r="BT26" s="546"/>
      <c r="BU26" s="549"/>
      <c r="BV26" s="545"/>
      <c r="BW26" s="546"/>
      <c r="BX26" s="549"/>
      <c r="BY26" s="545"/>
      <c r="BZ26" s="546"/>
      <c r="CA26" s="549"/>
      <c r="CB26" s="570"/>
    </row>
    <row r="27" spans="1:82" s="501" customFormat="1" ht="13.5" customHeight="1" x14ac:dyDescent="0.2">
      <c r="A27" s="2339" t="s">
        <v>40</v>
      </c>
      <c r="B27" s="2340"/>
      <c r="C27" s="2341"/>
      <c r="D27" s="2342" t="s">
        <v>5</v>
      </c>
      <c r="E27" s="2343"/>
      <c r="F27" s="2344" t="s">
        <v>6</v>
      </c>
      <c r="G27" s="2345"/>
      <c r="H27" s="747" t="s">
        <v>4</v>
      </c>
      <c r="I27" s="748" t="s">
        <v>9</v>
      </c>
      <c r="J27" s="749" t="s">
        <v>10</v>
      </c>
      <c r="K27" s="747" t="s">
        <v>4</v>
      </c>
      <c r="L27" s="748" t="s">
        <v>9</v>
      </c>
      <c r="M27" s="749" t="s">
        <v>10</v>
      </c>
      <c r="N27" s="747" t="s">
        <v>4</v>
      </c>
      <c r="O27" s="748" t="s">
        <v>9</v>
      </c>
      <c r="P27" s="749" t="s">
        <v>10</v>
      </c>
      <c r="Q27" s="747" t="s">
        <v>4</v>
      </c>
      <c r="R27" s="748" t="s">
        <v>9</v>
      </c>
      <c r="S27" s="749" t="s">
        <v>10</v>
      </c>
      <c r="T27" s="747" t="s">
        <v>4</v>
      </c>
      <c r="U27" s="748" t="s">
        <v>9</v>
      </c>
      <c r="V27" s="749" t="s">
        <v>10</v>
      </c>
      <c r="W27" s="747" t="s">
        <v>4</v>
      </c>
      <c r="X27" s="748" t="s">
        <v>9</v>
      </c>
      <c r="Y27" s="749" t="s">
        <v>10</v>
      </c>
      <c r="Z27" s="747" t="s">
        <v>4</v>
      </c>
      <c r="AA27" s="748" t="s">
        <v>9</v>
      </c>
      <c r="AB27" s="749" t="s">
        <v>10</v>
      </c>
      <c r="AC27" s="747" t="s">
        <v>4</v>
      </c>
      <c r="AD27" s="748" t="s">
        <v>9</v>
      </c>
      <c r="AE27" s="749" t="s">
        <v>10</v>
      </c>
      <c r="AF27" s="747" t="s">
        <v>4</v>
      </c>
      <c r="AG27" s="748" t="s">
        <v>9</v>
      </c>
      <c r="AH27" s="749" t="s">
        <v>10</v>
      </c>
      <c r="AI27" s="747" t="s">
        <v>4</v>
      </c>
      <c r="AJ27" s="748" t="s">
        <v>9</v>
      </c>
      <c r="AK27" s="749" t="s">
        <v>10</v>
      </c>
      <c r="AL27" s="747" t="s">
        <v>4</v>
      </c>
      <c r="AM27" s="748" t="s">
        <v>9</v>
      </c>
      <c r="AN27" s="749" t="s">
        <v>10</v>
      </c>
      <c r="AO27" s="747" t="s">
        <v>4</v>
      </c>
      <c r="AP27" s="748" t="s">
        <v>9</v>
      </c>
      <c r="AQ27" s="749" t="s">
        <v>10</v>
      </c>
      <c r="AR27" s="747" t="s">
        <v>4</v>
      </c>
      <c r="AS27" s="748" t="s">
        <v>9</v>
      </c>
      <c r="AT27" s="749" t="s">
        <v>10</v>
      </c>
      <c r="AU27" s="747" t="s">
        <v>4</v>
      </c>
      <c r="AV27" s="748" t="s">
        <v>9</v>
      </c>
      <c r="AW27" s="749" t="s">
        <v>10</v>
      </c>
      <c r="AX27" s="747" t="s">
        <v>4</v>
      </c>
      <c r="AY27" s="748" t="s">
        <v>9</v>
      </c>
      <c r="AZ27" s="749" t="s">
        <v>10</v>
      </c>
      <c r="BA27" s="747" t="s">
        <v>4</v>
      </c>
      <c r="BB27" s="748" t="s">
        <v>9</v>
      </c>
      <c r="BC27" s="749" t="s">
        <v>10</v>
      </c>
      <c r="BD27" s="747" t="s">
        <v>4</v>
      </c>
      <c r="BE27" s="748" t="s">
        <v>9</v>
      </c>
      <c r="BF27" s="749" t="s">
        <v>10</v>
      </c>
      <c r="BG27" s="747" t="s">
        <v>4</v>
      </c>
      <c r="BH27" s="748" t="s">
        <v>9</v>
      </c>
      <c r="BI27" s="749" t="s">
        <v>10</v>
      </c>
      <c r="BJ27" s="747" t="s">
        <v>4</v>
      </c>
      <c r="BK27" s="748" t="s">
        <v>9</v>
      </c>
      <c r="BL27" s="749" t="s">
        <v>10</v>
      </c>
      <c r="BM27" s="747" t="s">
        <v>4</v>
      </c>
      <c r="BN27" s="748" t="s">
        <v>9</v>
      </c>
      <c r="BO27" s="749" t="s">
        <v>10</v>
      </c>
      <c r="BP27" s="747" t="s">
        <v>4</v>
      </c>
      <c r="BQ27" s="748" t="s">
        <v>9</v>
      </c>
      <c r="BR27" s="749" t="s">
        <v>10</v>
      </c>
      <c r="BS27" s="747" t="s">
        <v>4</v>
      </c>
      <c r="BT27" s="748" t="s">
        <v>9</v>
      </c>
      <c r="BU27" s="749" t="s">
        <v>10</v>
      </c>
      <c r="BV27" s="747" t="s">
        <v>4</v>
      </c>
      <c r="BW27" s="748" t="s">
        <v>9</v>
      </c>
      <c r="BX27" s="749" t="s">
        <v>10</v>
      </c>
      <c r="BY27" s="747" t="s">
        <v>4</v>
      </c>
      <c r="BZ27" s="748" t="s">
        <v>9</v>
      </c>
      <c r="CA27" s="749" t="s">
        <v>10</v>
      </c>
      <c r="CB27" s="750"/>
    </row>
    <row r="28" spans="1:82" s="501" customFormat="1" ht="13.5" customHeight="1" thickBot="1" x14ac:dyDescent="0.25">
      <c r="A28" s="2330" t="s">
        <v>210</v>
      </c>
      <c r="B28" s="2330"/>
      <c r="C28" s="2331"/>
      <c r="D28" s="751" t="s">
        <v>7</v>
      </c>
      <c r="E28" s="751" t="s">
        <v>8</v>
      </c>
      <c r="F28" s="751" t="s">
        <v>7</v>
      </c>
      <c r="G28" s="752" t="s">
        <v>8</v>
      </c>
      <c r="H28" s="509" t="s">
        <v>30</v>
      </c>
      <c r="I28" s="510" t="s">
        <v>31</v>
      </c>
      <c r="J28" s="511" t="s">
        <v>32</v>
      </c>
      <c r="K28" s="509" t="s">
        <v>30</v>
      </c>
      <c r="L28" s="510" t="s">
        <v>31</v>
      </c>
      <c r="M28" s="511" t="s">
        <v>32</v>
      </c>
      <c r="N28" s="509" t="s">
        <v>30</v>
      </c>
      <c r="O28" s="510" t="s">
        <v>31</v>
      </c>
      <c r="P28" s="511" t="s">
        <v>32</v>
      </c>
      <c r="Q28" s="509" t="s">
        <v>30</v>
      </c>
      <c r="R28" s="510" t="s">
        <v>31</v>
      </c>
      <c r="S28" s="511" t="s">
        <v>32</v>
      </c>
      <c r="T28" s="509" t="s">
        <v>30</v>
      </c>
      <c r="U28" s="510" t="s">
        <v>31</v>
      </c>
      <c r="V28" s="511" t="s">
        <v>32</v>
      </c>
      <c r="W28" s="509" t="s">
        <v>30</v>
      </c>
      <c r="X28" s="510" t="s">
        <v>31</v>
      </c>
      <c r="Y28" s="511" t="s">
        <v>32</v>
      </c>
      <c r="Z28" s="509" t="s">
        <v>30</v>
      </c>
      <c r="AA28" s="510" t="s">
        <v>31</v>
      </c>
      <c r="AB28" s="511" t="s">
        <v>32</v>
      </c>
      <c r="AC28" s="509" t="s">
        <v>30</v>
      </c>
      <c r="AD28" s="510" t="s">
        <v>31</v>
      </c>
      <c r="AE28" s="511" t="s">
        <v>32</v>
      </c>
      <c r="AF28" s="509" t="s">
        <v>30</v>
      </c>
      <c r="AG28" s="510" t="s">
        <v>31</v>
      </c>
      <c r="AH28" s="511" t="s">
        <v>32</v>
      </c>
      <c r="AI28" s="509" t="s">
        <v>30</v>
      </c>
      <c r="AJ28" s="510" t="s">
        <v>31</v>
      </c>
      <c r="AK28" s="511" t="s">
        <v>32</v>
      </c>
      <c r="AL28" s="509" t="s">
        <v>30</v>
      </c>
      <c r="AM28" s="510" t="s">
        <v>31</v>
      </c>
      <c r="AN28" s="511" t="s">
        <v>32</v>
      </c>
      <c r="AO28" s="509" t="s">
        <v>30</v>
      </c>
      <c r="AP28" s="510" t="s">
        <v>31</v>
      </c>
      <c r="AQ28" s="511" t="s">
        <v>32</v>
      </c>
      <c r="AR28" s="509" t="s">
        <v>30</v>
      </c>
      <c r="AS28" s="510" t="s">
        <v>31</v>
      </c>
      <c r="AT28" s="511" t="s">
        <v>32</v>
      </c>
      <c r="AU28" s="509" t="s">
        <v>30</v>
      </c>
      <c r="AV28" s="510" t="s">
        <v>31</v>
      </c>
      <c r="AW28" s="511" t="s">
        <v>32</v>
      </c>
      <c r="AX28" s="509" t="s">
        <v>30</v>
      </c>
      <c r="AY28" s="510" t="s">
        <v>31</v>
      </c>
      <c r="AZ28" s="511" t="s">
        <v>32</v>
      </c>
      <c r="BA28" s="509" t="s">
        <v>30</v>
      </c>
      <c r="BB28" s="510" t="s">
        <v>31</v>
      </c>
      <c r="BC28" s="511" t="s">
        <v>32</v>
      </c>
      <c r="BD28" s="509" t="s">
        <v>30</v>
      </c>
      <c r="BE28" s="510" t="s">
        <v>31</v>
      </c>
      <c r="BF28" s="511" t="s">
        <v>32</v>
      </c>
      <c r="BG28" s="509" t="s">
        <v>30</v>
      </c>
      <c r="BH28" s="510" t="s">
        <v>31</v>
      </c>
      <c r="BI28" s="511" t="s">
        <v>32</v>
      </c>
      <c r="BJ28" s="509" t="s">
        <v>30</v>
      </c>
      <c r="BK28" s="510" t="s">
        <v>31</v>
      </c>
      <c r="BL28" s="511" t="s">
        <v>32</v>
      </c>
      <c r="BM28" s="509" t="s">
        <v>30</v>
      </c>
      <c r="BN28" s="510" t="s">
        <v>31</v>
      </c>
      <c r="BO28" s="511" t="s">
        <v>32</v>
      </c>
      <c r="BP28" s="509" t="s">
        <v>30</v>
      </c>
      <c r="BQ28" s="510" t="s">
        <v>31</v>
      </c>
      <c r="BR28" s="511" t="s">
        <v>32</v>
      </c>
      <c r="BS28" s="509" t="s">
        <v>30</v>
      </c>
      <c r="BT28" s="510" t="s">
        <v>31</v>
      </c>
      <c r="BU28" s="511" t="s">
        <v>32</v>
      </c>
      <c r="BV28" s="509" t="s">
        <v>30</v>
      </c>
      <c r="BW28" s="510" t="s">
        <v>31</v>
      </c>
      <c r="BX28" s="511" t="s">
        <v>32</v>
      </c>
      <c r="BY28" s="509" t="s">
        <v>30</v>
      </c>
      <c r="BZ28" s="510" t="s">
        <v>31</v>
      </c>
      <c r="CA28" s="511" t="s">
        <v>32</v>
      </c>
      <c r="CB28" s="750"/>
    </row>
    <row r="29" spans="1:82" x14ac:dyDescent="0.2">
      <c r="A29" s="753" t="s">
        <v>211</v>
      </c>
      <c r="B29" s="754"/>
      <c r="C29" s="755"/>
      <c r="D29" s="559"/>
      <c r="E29" s="560"/>
      <c r="F29" s="561"/>
      <c r="G29" s="562"/>
      <c r="H29" s="518">
        <f>ROUND(SQRT(I29^2+J29^2)*1000/(SQRT(3)*I11),2)</f>
        <v>2.38</v>
      </c>
      <c r="I29" s="756">
        <v>4.2299999999999997E-2</v>
      </c>
      <c r="J29" s="757">
        <v>3.5999999999999999E-3</v>
      </c>
      <c r="K29" s="518">
        <f>ROUND(SQRT(L29^2+M29^2)*1000/(SQRT(3)*L11),2)</f>
        <v>2.36</v>
      </c>
      <c r="L29" s="756">
        <v>4.2000000000000003E-2</v>
      </c>
      <c r="M29" s="757">
        <v>3.9000000000000003E-3</v>
      </c>
      <c r="N29" s="518">
        <f>ROUND(SQRT(O29^2+P29^2)*1000/(SQRT(3)*O11),2)</f>
        <v>2.33</v>
      </c>
      <c r="O29" s="756">
        <v>4.1399999999999999E-2</v>
      </c>
      <c r="P29" s="757">
        <v>3.9000000000000003E-3</v>
      </c>
      <c r="Q29" s="518">
        <f>ROUND(SQRT(R29^2+S29^2)*1000/(SQRT(3)*R11),2)</f>
        <v>2.35</v>
      </c>
      <c r="R29" s="756">
        <v>4.1700000000000001E-2</v>
      </c>
      <c r="S29" s="757">
        <v>3.5999999999999999E-3</v>
      </c>
      <c r="T29" s="518">
        <f>ROUND(SQRT(U29^2+V29^2)*1000/(SQRT(3)*U11),2)</f>
        <v>2.33</v>
      </c>
      <c r="U29" s="756">
        <v>4.1399999999999999E-2</v>
      </c>
      <c r="V29" s="757">
        <v>3.9000000000000003E-3</v>
      </c>
      <c r="W29" s="518">
        <f>ROUND(SQRT(X29^2+Y29^2)*1000/(SQRT(3)*X11),2)</f>
        <v>2.36</v>
      </c>
      <c r="X29" s="756">
        <v>4.2000000000000003E-2</v>
      </c>
      <c r="Y29" s="757">
        <v>3.5999999999999999E-3</v>
      </c>
      <c r="Z29" s="518">
        <f>ROUND(SQRT(AA29^2+AB29^2)*1000/(SQRT(3)*AA11),2)</f>
        <v>2.58</v>
      </c>
      <c r="AA29" s="756">
        <v>4.5899999999999996E-2</v>
      </c>
      <c r="AB29" s="757">
        <v>3.9000000000000003E-3</v>
      </c>
      <c r="AC29" s="518">
        <f>ROUND(SQRT(AD29^2+AE29^2)*1000/(SQRT(3)*AD11),2)</f>
        <v>2.5099999999999998</v>
      </c>
      <c r="AD29" s="756">
        <v>4.4700000000000004E-2</v>
      </c>
      <c r="AE29" s="757">
        <v>3.3E-3</v>
      </c>
      <c r="AF29" s="518">
        <f>ROUND(SQRT(AG29^2+AH29^2)*1000/(SQRT(3)*AG11),2)</f>
        <v>2.58</v>
      </c>
      <c r="AG29" s="756">
        <v>4.5899999999999996E-2</v>
      </c>
      <c r="AH29" s="757">
        <v>3.3E-3</v>
      </c>
      <c r="AI29" s="518">
        <f>ROUND(SQRT(AJ29^2+AK29^2)*1000/(SQRT(3)*AJ11),2)</f>
        <v>2.54</v>
      </c>
      <c r="AJ29" s="756">
        <v>4.53E-2</v>
      </c>
      <c r="AK29" s="757">
        <v>2.7000000000000001E-3</v>
      </c>
      <c r="AL29" s="518">
        <f>ROUND(SQRT(AM29^2+AN29^2)*1000/(SQRT(3)*AM11),2)</f>
        <v>2.59</v>
      </c>
      <c r="AM29" s="756">
        <v>4.6200000000000005E-2</v>
      </c>
      <c r="AN29" s="757">
        <v>2.7000000000000001E-3</v>
      </c>
      <c r="AO29" s="518">
        <f>ROUND(SQRT(AP29^2+AQ29^2)*1000/(SQRT(3)*AP11),2)</f>
        <v>2.56</v>
      </c>
      <c r="AP29" s="756">
        <v>4.5600000000000002E-2</v>
      </c>
      <c r="AQ29" s="757">
        <v>3.3E-3</v>
      </c>
      <c r="AR29" s="518">
        <f>ROUND(SQRT(AS29^2+AT29^2)*1000/(SQRT(3)*AS11),2)</f>
        <v>2.58</v>
      </c>
      <c r="AS29" s="756">
        <v>4.5900000000000003E-2</v>
      </c>
      <c r="AT29" s="757">
        <v>3.0000000000000001E-3</v>
      </c>
      <c r="AU29" s="518">
        <f>ROUND(SQRT(AV29^2+AW29^2)*1000/(SQRT(3)*AV11),2)</f>
        <v>2.5299999999999998</v>
      </c>
      <c r="AV29" s="756">
        <v>4.4999999999999998E-2</v>
      </c>
      <c r="AW29" s="757">
        <v>3.0000000000000001E-3</v>
      </c>
      <c r="AX29" s="518">
        <f>ROUND(SQRT(AY29^2+AZ29^2)*1000/(SQRT(3)*AY11),2)</f>
        <v>2.66</v>
      </c>
      <c r="AY29" s="756">
        <v>4.7399999999999998E-2</v>
      </c>
      <c r="AZ29" s="757">
        <v>2.7000000000000001E-3</v>
      </c>
      <c r="BA29" s="518">
        <f>ROUND(SQRT(BB29^2+BC29^2)*1000/(SQRT(3)*BB11),2)</f>
        <v>2.87</v>
      </c>
      <c r="BB29" s="756">
        <v>5.0999999999999997E-2</v>
      </c>
      <c r="BC29" s="757">
        <v>3.5999999999999999E-3</v>
      </c>
      <c r="BD29" s="518">
        <f>ROUND(SQRT(BE29^2+BF29^2)*1000/(SQRT(3)*BE11),2)</f>
        <v>2.68</v>
      </c>
      <c r="BE29" s="756">
        <v>4.7700000000000006E-2</v>
      </c>
      <c r="BF29" s="757">
        <v>3.5999999999999999E-3</v>
      </c>
      <c r="BG29" s="518">
        <f>ROUND(SQRT(BH29^2+BI29^2)*1000/(SQRT(3)*BH11),2)</f>
        <v>2.71</v>
      </c>
      <c r="BH29" s="756">
        <v>4.8299999999999996E-2</v>
      </c>
      <c r="BI29" s="757">
        <v>3.3E-3</v>
      </c>
      <c r="BJ29" s="518">
        <f>ROUND(SQRT(BK29^2+BL29^2)*1000/(SQRT(3)*BK11),2)</f>
        <v>2.65</v>
      </c>
      <c r="BK29" s="756">
        <v>4.7099999999999996E-2</v>
      </c>
      <c r="BL29" s="757">
        <v>3.3E-3</v>
      </c>
      <c r="BM29" s="518">
        <f>ROUND(SQRT(BN29^2+BO29^2)*1000/(SQRT(3)*BN11),2)</f>
        <v>2.73</v>
      </c>
      <c r="BN29" s="756">
        <v>4.8600000000000004E-2</v>
      </c>
      <c r="BO29" s="757">
        <v>3.5999999999999999E-3</v>
      </c>
      <c r="BP29" s="518">
        <f>ROUND(SQRT(BQ29^2+BR29^2)*1000/(SQRT(3)*BQ11),2)</f>
        <v>2.83</v>
      </c>
      <c r="BQ29" s="756">
        <v>5.04E-2</v>
      </c>
      <c r="BR29" s="757">
        <v>3.9000000000000003E-3</v>
      </c>
      <c r="BS29" s="518">
        <f>ROUND(SQRT(BT29^2+BU29^2)*1000/(SQRT(3)*BT11),2)</f>
        <v>2.68</v>
      </c>
      <c r="BT29" s="756">
        <v>4.7700000000000006E-2</v>
      </c>
      <c r="BU29" s="757">
        <v>3.3E-3</v>
      </c>
      <c r="BV29" s="518">
        <f>ROUND(SQRT(BW29^2+BX29^2)*1000/(SQRT(3)*BW11),2)</f>
        <v>2.4300000000000002</v>
      </c>
      <c r="BW29" s="756">
        <v>4.3200000000000002E-2</v>
      </c>
      <c r="BX29" s="757">
        <v>3.3E-3</v>
      </c>
      <c r="BY29" s="518">
        <f>ROUND(SQRT(BZ29^2+CA29^2)*1000/(SQRT(3)*BZ11),2)</f>
        <v>2.38</v>
      </c>
      <c r="BZ29" s="756">
        <v>4.2299999999999997E-2</v>
      </c>
      <c r="CA29" s="757">
        <v>3.5999999999999999E-3</v>
      </c>
      <c r="CB29" s="717">
        <f>SUM(BZ29,BW29,BT29,BQ29,BN29,BK29,BH29,BE29,BB29,AY29,AV29,AS29,AP29,AM29,AJ29,AG29,AD29,AA29,X29,U29,R29,O29,L29,I29)</f>
        <v>1.0890000000000002</v>
      </c>
      <c r="CC29" s="618">
        <f t="shared" ref="CB29:CC31" si="1">SUM(CA29,BX29,BU29,BR29,BO29,BL29,BI29,BF29,BC29,AZ29,AW29,AT29,AQ29,AN29,AK29,AH29,AE29,AB29,Y29,V29,S29,P29,M29,J29)</f>
        <v>8.1900000000000014E-2</v>
      </c>
    </row>
    <row r="30" spans="1:82" x14ac:dyDescent="0.2">
      <c r="A30" s="758" t="s">
        <v>212</v>
      </c>
      <c r="B30" s="759"/>
      <c r="C30" s="760"/>
      <c r="D30" s="592"/>
      <c r="E30" s="591"/>
      <c r="F30" s="592"/>
      <c r="G30" s="593"/>
      <c r="H30" s="518">
        <f>ROUND(SQRT(I30^2+J30^2)*1000/(SQRT(3)*I17),2)</f>
        <v>13.83</v>
      </c>
      <c r="I30" s="761">
        <v>0.2424</v>
      </c>
      <c r="J30" s="762">
        <v>4.5599999999999995E-2</v>
      </c>
      <c r="K30" s="518">
        <f>ROUND(SQRT(L30^2+M30^2)*1000/(SQRT(3)*L17),2)</f>
        <v>13.25</v>
      </c>
      <c r="L30" s="761">
        <v>0.2319</v>
      </c>
      <c r="M30" s="762">
        <v>4.5900000000000003E-2</v>
      </c>
      <c r="N30" s="518">
        <f>ROUND(SQRT(O30^2+P30^2)*1000/(SQRT(3)*O17),2)</f>
        <v>12.72</v>
      </c>
      <c r="O30" s="761">
        <v>0.22259999999999999</v>
      </c>
      <c r="P30" s="762">
        <v>4.4099999999999993E-2</v>
      </c>
      <c r="Q30" s="518">
        <f>ROUND(SQRT(R30^2+S30^2)*1000/(SQRT(3)*R17),2)</f>
        <v>12.73</v>
      </c>
      <c r="R30" s="761">
        <v>0.22290000000000001</v>
      </c>
      <c r="S30" s="762">
        <v>4.3799999999999999E-2</v>
      </c>
      <c r="T30" s="518">
        <f>ROUND(SQRT(U30^2+V30^2)*1000/(SQRT(3)*U17),2)</f>
        <v>12.7</v>
      </c>
      <c r="U30" s="761">
        <v>0.22290000000000001</v>
      </c>
      <c r="V30" s="762">
        <v>4.0799999999999996E-2</v>
      </c>
      <c r="W30" s="518">
        <f>ROUND(SQRT(X30^2+Y30^2)*1000/(SQRT(3)*X17),2)</f>
        <v>13.41</v>
      </c>
      <c r="X30" s="761">
        <v>0.23400000000000001</v>
      </c>
      <c r="Y30" s="762">
        <v>4.9799999999999997E-2</v>
      </c>
      <c r="Z30" s="518">
        <f>ROUND(SQRT(AA30^2+AB30^2)*1000/(SQRT(3)*AA17),2)</f>
        <v>16.53</v>
      </c>
      <c r="AA30" s="761">
        <v>0.28889999999999999</v>
      </c>
      <c r="AB30" s="762">
        <v>5.9099999999999993E-2</v>
      </c>
      <c r="AC30" s="518">
        <f>ROUND(SQRT(AD30^2+AE30^2)*1000/(SQRT(3)*AD17),2)</f>
        <v>18.010000000000002</v>
      </c>
      <c r="AD30" s="761">
        <v>0.31589999999999996</v>
      </c>
      <c r="AE30" s="762">
        <v>5.8200000000000002E-2</v>
      </c>
      <c r="AF30" s="518">
        <f>ROUND(SQRT(AG30^2+AH30^2)*1000/(SQRT(3)*AG17),2)</f>
        <v>19.059999999999999</v>
      </c>
      <c r="AG30" s="761">
        <v>0.33510000000000001</v>
      </c>
      <c r="AH30" s="762">
        <v>5.7599999999999998E-2</v>
      </c>
      <c r="AI30" s="518">
        <f>ROUND(SQRT(AJ30^2+AK30^2)*1000/(SQRT(3)*AJ17),2)</f>
        <v>19.77</v>
      </c>
      <c r="AJ30" s="761">
        <v>0.34949999999999998</v>
      </c>
      <c r="AK30" s="762">
        <v>4.7700000000000006E-2</v>
      </c>
      <c r="AL30" s="518">
        <f>ROUND(SQRT(AM30^2+AN30^2)*1000/(SQRT(3)*AM17),2)</f>
        <v>18.72</v>
      </c>
      <c r="AM30" s="761">
        <v>0.33119999999999999</v>
      </c>
      <c r="AN30" s="762">
        <v>4.2900000000000001E-2</v>
      </c>
      <c r="AO30" s="518">
        <f>ROUND(SQRT(AP30^2+AQ30^2)*1000/(SQRT(3)*AP17),2)</f>
        <v>18.28</v>
      </c>
      <c r="AP30" s="761">
        <v>0.32250000000000001</v>
      </c>
      <c r="AQ30" s="762">
        <v>4.8000000000000001E-2</v>
      </c>
      <c r="AR30" s="518">
        <f>ROUND(SQRT(AS30^2+AT30^2)*1000/(SQRT(3)*AS17),2)</f>
        <v>17.399999999999999</v>
      </c>
      <c r="AS30" s="761">
        <v>0.30780000000000002</v>
      </c>
      <c r="AT30" s="762">
        <v>4.0500000000000001E-2</v>
      </c>
      <c r="AU30" s="518">
        <f>ROUND(SQRT(AV30^2+AW30^2)*1000/(SQRT(3)*AV17),2)</f>
        <v>17.11</v>
      </c>
      <c r="AV30" s="761">
        <v>0.30210000000000004</v>
      </c>
      <c r="AW30" s="762">
        <v>4.3499999999999997E-2</v>
      </c>
      <c r="AX30" s="518">
        <f>ROUND(SQRT(AY30^2+AZ30^2)*1000/(SQRT(3)*AY17),2)</f>
        <v>17.05</v>
      </c>
      <c r="AY30" s="761">
        <v>0.30149999999999999</v>
      </c>
      <c r="AZ30" s="762">
        <v>3.9600000000000003E-2</v>
      </c>
      <c r="BA30" s="518">
        <f>ROUND(SQRT(BB30^2+BC30^2)*1000/(SQRT(3)*BB17),2)</f>
        <v>17.55</v>
      </c>
      <c r="BB30" s="761">
        <v>0.3105</v>
      </c>
      <c r="BC30" s="762">
        <v>4.0500000000000001E-2</v>
      </c>
      <c r="BD30" s="518">
        <f>ROUND(SQRT(BE30^2+BF30^2)*1000/(SQRT(3)*BE17),2)</f>
        <v>19.87</v>
      </c>
      <c r="BE30" s="761">
        <v>0.34949999999999998</v>
      </c>
      <c r="BF30" s="762">
        <v>5.8800000000000005E-2</v>
      </c>
      <c r="BG30" s="518">
        <f>ROUND(SQRT(BH30^2+BI30^2)*1000/(SQRT(3)*BH17),2)</f>
        <v>19.59</v>
      </c>
      <c r="BH30" s="761">
        <v>0.34350000000000003</v>
      </c>
      <c r="BI30" s="762">
        <v>6.480000000000001E-2</v>
      </c>
      <c r="BJ30" s="518">
        <f>ROUND(SQRT(BK30^2+BL30^2)*1000/(SQRT(3)*BK17),2)</f>
        <v>19.010000000000002</v>
      </c>
      <c r="BK30" s="761">
        <v>0.33300000000000002</v>
      </c>
      <c r="BL30" s="762">
        <v>6.3900000000000012E-2</v>
      </c>
      <c r="BM30" s="518">
        <f>ROUND(SQRT(BN30^2+BO30^2)*1000/(SQRT(3)*BN17),2)</f>
        <v>18.63</v>
      </c>
      <c r="BN30" s="761">
        <v>0.32550000000000001</v>
      </c>
      <c r="BO30" s="762">
        <v>6.6900000000000001E-2</v>
      </c>
      <c r="BP30" s="518">
        <f>ROUND(SQRT(BQ30^2+BR30^2)*1000/(SQRT(3)*BQ17),2)</f>
        <v>18.41</v>
      </c>
      <c r="BQ30" s="761">
        <v>0.3231</v>
      </c>
      <c r="BR30" s="762">
        <v>5.9400000000000008E-2</v>
      </c>
      <c r="BS30" s="518">
        <f>ROUND(SQRT(BT30^2+BU30^2)*1000/(SQRT(3)*BT17),2)</f>
        <v>18.27</v>
      </c>
      <c r="BT30" s="761">
        <v>0.31979999999999997</v>
      </c>
      <c r="BU30" s="762">
        <v>6.3E-2</v>
      </c>
      <c r="BV30" s="518">
        <f>ROUND(SQRT(BW30^2+BX30^2)*1000/(SQRT(3)*BW17),2)</f>
        <v>17.57</v>
      </c>
      <c r="BW30" s="761">
        <v>0.3075</v>
      </c>
      <c r="BX30" s="762">
        <v>6.0599999999999994E-2</v>
      </c>
      <c r="BY30" s="518">
        <f>ROUND(SQRT(BZ30^2+CA30^2)*1000/(SQRT(3)*BZ17),2)</f>
        <v>16.16</v>
      </c>
      <c r="BZ30" s="761">
        <v>0.28199999999999997</v>
      </c>
      <c r="CA30" s="762">
        <v>0.06</v>
      </c>
      <c r="CB30" s="735">
        <f t="shared" si="1"/>
        <v>7.1256000000000004</v>
      </c>
      <c r="CC30" s="618">
        <f t="shared" si="1"/>
        <v>1.2450000000000003</v>
      </c>
    </row>
    <row r="31" spans="1:82" ht="13.5" thickBot="1" x14ac:dyDescent="0.25">
      <c r="A31" s="758" t="s">
        <v>213</v>
      </c>
      <c r="B31" s="759"/>
      <c r="C31" s="760"/>
      <c r="D31" s="592"/>
      <c r="E31" s="591"/>
      <c r="F31" s="592"/>
      <c r="G31" s="593"/>
      <c r="H31" s="518">
        <f>ROUND(SQRT(I31^2+J31^2)*1000/(SQRT(3)*I11),2)</f>
        <v>6.03</v>
      </c>
      <c r="I31" s="763">
        <v>0.10590000000000001</v>
      </c>
      <c r="J31" s="764">
        <v>1.9199999999999998E-2</v>
      </c>
      <c r="K31" s="518">
        <f>ROUND(SQRT(L31^2+M31^2)*1000/(SQRT(3)*L11),2)</f>
        <v>6.5</v>
      </c>
      <c r="L31" s="763">
        <v>0.11430000000000001</v>
      </c>
      <c r="M31" s="764">
        <v>1.9799999999999998E-2</v>
      </c>
      <c r="N31" s="518">
        <f>ROUND(SQRT(O31^2+P31^2)*1000/(SQRT(3)*O11),2)</f>
        <v>6.38</v>
      </c>
      <c r="O31" s="763">
        <v>0.11220000000000001</v>
      </c>
      <c r="P31" s="764">
        <v>1.95E-2</v>
      </c>
      <c r="Q31" s="518">
        <f>ROUND(SQRT(R31^2+S31^2)*1000/(SQRT(3)*R11),2)</f>
        <v>6.16</v>
      </c>
      <c r="R31" s="763">
        <v>0.10830000000000001</v>
      </c>
      <c r="S31" s="764">
        <v>1.89E-2</v>
      </c>
      <c r="T31" s="518">
        <f>ROUND(SQRT(U31^2+V31^2)*1000/(SQRT(3)*U11),2)</f>
        <v>6.49</v>
      </c>
      <c r="U31" s="763">
        <v>0.114</v>
      </c>
      <c r="V31" s="764">
        <v>1.9799999999999998E-2</v>
      </c>
      <c r="W31" s="518">
        <f>ROUND(SQRT(X31^2+Y31^2)*1000/(SQRT(3)*X11),2)</f>
        <v>6.7</v>
      </c>
      <c r="X31" s="763">
        <v>0.1179</v>
      </c>
      <c r="Y31" s="764">
        <v>1.9199999999999998E-2</v>
      </c>
      <c r="Z31" s="518">
        <f>ROUND(SQRT(AA31^2+AB31^2)*1000/(SQRT(3)*AA11),2)</f>
        <v>6.4</v>
      </c>
      <c r="AA31" s="763">
        <v>0.11280000000000001</v>
      </c>
      <c r="AB31" s="764">
        <v>1.77E-2</v>
      </c>
      <c r="AC31" s="518">
        <f>ROUND(SQRT(AD31^2+AE31^2)*1000/(SQRT(3)*AD11),2)</f>
        <v>6.59</v>
      </c>
      <c r="AD31" s="763">
        <v>0.11609999999999999</v>
      </c>
      <c r="AE31" s="764">
        <v>1.8600000000000002E-2</v>
      </c>
      <c r="AF31" s="518">
        <f>ROUND(SQRT(AG31^2+AH31^2)*1000/(SQRT(3)*AG11),2)</f>
        <v>6.57</v>
      </c>
      <c r="AG31" s="763">
        <v>0.11550000000000001</v>
      </c>
      <c r="AH31" s="764">
        <v>1.9800000000000002E-2</v>
      </c>
      <c r="AI31" s="518">
        <f>ROUND(SQRT(AJ31^2+AK31^2)*1000/(SQRT(3)*AJ11),2)</f>
        <v>7.2</v>
      </c>
      <c r="AJ31" s="763">
        <v>0.126</v>
      </c>
      <c r="AK31" s="764">
        <v>2.46E-2</v>
      </c>
      <c r="AL31" s="518">
        <f>ROUND(SQRT(AM31^2+AN31^2)*1000/(SQRT(3)*AM11),2)</f>
        <v>7.36</v>
      </c>
      <c r="AM31" s="763">
        <v>0.12869999999999998</v>
      </c>
      <c r="AN31" s="764">
        <v>2.64E-2</v>
      </c>
      <c r="AO31" s="518">
        <f>ROUND(SQRT(AP31^2+AQ31^2)*1000/(SQRT(3)*AP11),2)</f>
        <v>6.73</v>
      </c>
      <c r="AP31" s="763">
        <v>0.1182</v>
      </c>
      <c r="AQ31" s="764">
        <v>2.1000000000000001E-2</v>
      </c>
      <c r="AR31" s="518">
        <f>ROUND(SQRT(AS31^2+AT31^2)*1000/(SQRT(3)*AS11),2)</f>
        <v>6.48</v>
      </c>
      <c r="AS31" s="763">
        <v>0.11370000000000001</v>
      </c>
      <c r="AT31" s="764">
        <v>2.1000000000000001E-2</v>
      </c>
      <c r="AU31" s="518">
        <f>ROUND(SQRT(AV31^2+AW31^2)*1000/(SQRT(3)*AV11),2)</f>
        <v>6.2</v>
      </c>
      <c r="AV31" s="763">
        <v>0.10859999999999999</v>
      </c>
      <c r="AW31" s="764">
        <v>2.07E-2</v>
      </c>
      <c r="AX31" s="518">
        <f>ROUND(SQRT(AY31^2+AZ31^2)*1000/(SQRT(3)*AY11),2)</f>
        <v>6.05</v>
      </c>
      <c r="AY31" s="763">
        <v>0.10619999999999999</v>
      </c>
      <c r="AZ31" s="764">
        <v>1.95E-2</v>
      </c>
      <c r="BA31" s="518">
        <f>ROUND(SQRT(BB31^2+BC31^2)*1000/(SQRT(3)*BB11),2)</f>
        <v>6.28</v>
      </c>
      <c r="BB31" s="763">
        <v>0.11009999999999999</v>
      </c>
      <c r="BC31" s="764">
        <v>2.0399999999999998E-2</v>
      </c>
      <c r="BD31" s="518">
        <f>ROUND(SQRT(BE31^2+BF31^2)*1000/(SQRT(3)*BE11),2)</f>
        <v>6.2</v>
      </c>
      <c r="BE31" s="763">
        <v>0.10859999999999999</v>
      </c>
      <c r="BF31" s="764">
        <v>2.0700000000000003E-2</v>
      </c>
      <c r="BG31" s="518">
        <f>ROUND(SQRT(BH31^2+BI31^2)*1000/(SQRT(3)*BH11),2)</f>
        <v>6.12</v>
      </c>
      <c r="BH31" s="763">
        <v>0.1077</v>
      </c>
      <c r="BI31" s="764">
        <v>1.83E-2</v>
      </c>
      <c r="BJ31" s="518">
        <f>ROUND(SQRT(BK31^2+BL31^2)*1000/(SQRT(3)*BK11),2)</f>
        <v>6.26</v>
      </c>
      <c r="BK31" s="763">
        <v>0.11009999999999999</v>
      </c>
      <c r="BL31" s="764">
        <v>1.8600000000000002E-2</v>
      </c>
      <c r="BM31" s="518">
        <f>ROUND(SQRT(BN31^2+BO31^2)*1000/(SQRT(3)*BN11),2)</f>
        <v>6.61</v>
      </c>
      <c r="BN31" s="763">
        <v>0.1164</v>
      </c>
      <c r="BO31" s="764">
        <v>1.8600000000000002E-2</v>
      </c>
      <c r="BP31" s="518">
        <f>ROUND(SQRT(BQ31^2+BR31^2)*1000/(SQRT(3)*BQ11),2)</f>
        <v>6.44</v>
      </c>
      <c r="BQ31" s="763">
        <v>0.11309999999999999</v>
      </c>
      <c r="BR31" s="764">
        <v>2.0399999999999998E-2</v>
      </c>
      <c r="BS31" s="518">
        <f>ROUND(SQRT(BT31^2+BU31^2)*1000/(SQRT(3)*BT11),2)</f>
        <v>6.49</v>
      </c>
      <c r="BT31" s="763">
        <v>0.1137</v>
      </c>
      <c r="BU31" s="764">
        <v>2.1600000000000001E-2</v>
      </c>
      <c r="BV31" s="518">
        <f>ROUND(SQRT(BW31^2+BX31^2)*1000/(SQRT(3)*BW11),2)</f>
        <v>7.05</v>
      </c>
      <c r="BW31" s="763">
        <v>0.1245</v>
      </c>
      <c r="BX31" s="764">
        <v>1.7999999999999999E-2</v>
      </c>
      <c r="BY31" s="518">
        <f>ROUND(SQRT(BZ31^2+CA31^2)*1000/(SQRT(3)*BZ11),2)</f>
        <v>6.48</v>
      </c>
      <c r="BZ31" s="763">
        <v>0.1137</v>
      </c>
      <c r="CA31" s="764">
        <v>2.0399999999999998E-2</v>
      </c>
      <c r="CB31" s="618">
        <f t="shared" si="1"/>
        <v>2.7363</v>
      </c>
      <c r="CC31" s="618">
        <f t="shared" si="1"/>
        <v>0.48269999999999991</v>
      </c>
    </row>
    <row r="32" spans="1:82" ht="14.25" customHeight="1" thickBot="1" x14ac:dyDescent="0.25">
      <c r="A32" s="2306" t="s">
        <v>19</v>
      </c>
      <c r="B32" s="2307"/>
      <c r="C32" s="2307"/>
      <c r="D32" s="2307"/>
      <c r="E32" s="2307"/>
      <c r="F32" s="2307"/>
      <c r="G32" s="2308"/>
      <c r="H32" s="765"/>
      <c r="I32" s="766"/>
      <c r="J32" s="767"/>
      <c r="K32" s="765"/>
      <c r="L32" s="766"/>
      <c r="M32" s="767"/>
      <c r="N32" s="765"/>
      <c r="O32" s="766"/>
      <c r="P32" s="767"/>
      <c r="Q32" s="765"/>
      <c r="R32" s="766"/>
      <c r="S32" s="767"/>
      <c r="T32" s="765"/>
      <c r="U32" s="766"/>
      <c r="V32" s="767"/>
      <c r="W32" s="765"/>
      <c r="X32" s="766"/>
      <c r="Y32" s="767"/>
      <c r="Z32" s="765"/>
      <c r="AA32" s="766"/>
      <c r="AB32" s="767"/>
      <c r="AC32" s="765"/>
      <c r="AD32" s="766"/>
      <c r="AE32" s="767"/>
      <c r="AF32" s="765"/>
      <c r="AG32" s="766"/>
      <c r="AH32" s="767"/>
      <c r="AI32" s="765"/>
      <c r="AJ32" s="766"/>
      <c r="AK32" s="767"/>
      <c r="AL32" s="765"/>
      <c r="AM32" s="766"/>
      <c r="AN32" s="767"/>
      <c r="AO32" s="765"/>
      <c r="AP32" s="766"/>
      <c r="AQ32" s="767"/>
      <c r="AR32" s="765"/>
      <c r="AS32" s="766"/>
      <c r="AT32" s="767"/>
      <c r="AU32" s="765"/>
      <c r="AV32" s="766"/>
      <c r="AW32" s="767"/>
      <c r="AX32" s="765"/>
      <c r="AY32" s="766"/>
      <c r="AZ32" s="767"/>
      <c r="BA32" s="765"/>
      <c r="BB32" s="766"/>
      <c r="BC32" s="767"/>
      <c r="BD32" s="765"/>
      <c r="BE32" s="766"/>
      <c r="BF32" s="767"/>
      <c r="BG32" s="765"/>
      <c r="BH32" s="766"/>
      <c r="BI32" s="767"/>
      <c r="BJ32" s="765"/>
      <c r="BK32" s="766"/>
      <c r="BL32" s="767"/>
      <c r="BM32" s="765"/>
      <c r="BN32" s="766"/>
      <c r="BO32" s="767"/>
      <c r="BP32" s="765"/>
      <c r="BQ32" s="766"/>
      <c r="BR32" s="767"/>
      <c r="BS32" s="765"/>
      <c r="BT32" s="766"/>
      <c r="BU32" s="767"/>
      <c r="BV32" s="765"/>
      <c r="BW32" s="766"/>
      <c r="BX32" s="767"/>
      <c r="BY32" s="765"/>
      <c r="BZ32" s="766"/>
      <c r="CA32" s="767"/>
      <c r="CB32" s="570"/>
    </row>
    <row r="33" spans="1:80" x14ac:dyDescent="0.2">
      <c r="A33" s="768"/>
      <c r="B33" s="753" t="s">
        <v>22</v>
      </c>
      <c r="C33" s="769"/>
      <c r="D33" s="769" t="s">
        <v>202</v>
      </c>
      <c r="E33" s="769"/>
      <c r="F33" s="769"/>
      <c r="G33" s="770"/>
      <c r="H33" s="683">
        <v>5.4999999999999997E-3</v>
      </c>
      <c r="I33" s="684" t="s">
        <v>2</v>
      </c>
      <c r="J33" s="685">
        <v>3.7100000000000001E-2</v>
      </c>
      <c r="K33" s="683"/>
      <c r="L33" s="684"/>
      <c r="M33" s="685"/>
      <c r="N33" s="683"/>
      <c r="O33" s="684"/>
      <c r="P33" s="685"/>
      <c r="Q33" s="683"/>
      <c r="R33" s="684"/>
      <c r="S33" s="685"/>
      <c r="T33" s="683"/>
      <c r="U33" s="684"/>
      <c r="V33" s="685"/>
      <c r="W33" s="683"/>
      <c r="X33" s="684"/>
      <c r="Y33" s="685"/>
      <c r="Z33" s="683"/>
      <c r="AA33" s="684"/>
      <c r="AB33" s="685"/>
      <c r="AC33" s="683"/>
      <c r="AD33" s="684"/>
      <c r="AE33" s="685"/>
      <c r="AF33" s="683"/>
      <c r="AG33" s="684"/>
      <c r="AH33" s="685"/>
      <c r="AI33" s="683"/>
      <c r="AJ33" s="684"/>
      <c r="AK33" s="685"/>
      <c r="AL33" s="683"/>
      <c r="AM33" s="684"/>
      <c r="AN33" s="685"/>
      <c r="AO33" s="683"/>
      <c r="AP33" s="684"/>
      <c r="AQ33" s="685"/>
      <c r="AR33" s="683"/>
      <c r="AS33" s="684"/>
      <c r="AT33" s="685"/>
      <c r="AU33" s="683"/>
      <c r="AV33" s="684"/>
      <c r="AW33" s="685"/>
      <c r="AX33" s="683"/>
      <c r="AY33" s="684"/>
      <c r="AZ33" s="685"/>
      <c r="BA33" s="683"/>
      <c r="BB33" s="684"/>
      <c r="BC33" s="685"/>
      <c r="BD33" s="683"/>
      <c r="BE33" s="684"/>
      <c r="BF33" s="685"/>
      <c r="BG33" s="683"/>
      <c r="BH33" s="684"/>
      <c r="BI33" s="685"/>
      <c r="BJ33" s="683"/>
      <c r="BK33" s="684"/>
      <c r="BL33" s="685"/>
      <c r="BM33" s="683"/>
      <c r="BN33" s="684"/>
      <c r="BO33" s="685"/>
      <c r="BP33" s="683"/>
      <c r="BQ33" s="684"/>
      <c r="BR33" s="685"/>
      <c r="BS33" s="683"/>
      <c r="BT33" s="684"/>
      <c r="BU33" s="685"/>
      <c r="BV33" s="683"/>
      <c r="BW33" s="684"/>
      <c r="BX33" s="685"/>
      <c r="BY33" s="683"/>
      <c r="BZ33" s="684"/>
      <c r="CA33" s="685"/>
      <c r="CB33" s="570"/>
    </row>
    <row r="34" spans="1:80" x14ac:dyDescent="0.2">
      <c r="A34" s="771" t="s">
        <v>0</v>
      </c>
      <c r="B34" s="772" t="s">
        <v>23</v>
      </c>
      <c r="C34" s="773"/>
      <c r="D34" s="774" t="s">
        <v>24</v>
      </c>
      <c r="E34" s="774"/>
      <c r="F34" s="774"/>
      <c r="G34" s="775"/>
      <c r="H34" s="687">
        <f>(SUM(I$8*I$8,J$8*J$8)/POWER($C$7,2))*$C$35</f>
        <v>7.9284333311999998E-5</v>
      </c>
      <c r="I34" s="684" t="s">
        <v>2</v>
      </c>
      <c r="J34" s="688">
        <f>($E$35/100)*(SUM(I$8*I$8,J$8*J$8)/$C$7)</f>
        <v>9.352961280000001E-4</v>
      </c>
      <c r="K34" s="687">
        <f>(SUM(L$8*L$8,M$8*M$8)/POWER($C$7,2))*$C$35</f>
        <v>8.8129602432000033E-5</v>
      </c>
      <c r="L34" s="684" t="s">
        <v>2</v>
      </c>
      <c r="M34" s="688">
        <f>($E$35/100)*(SUM(L$8*L$8,M$8*M$8)/$C$7)</f>
        <v>1.0396414080000003E-3</v>
      </c>
      <c r="N34" s="687">
        <f>(SUM(O$8*O$8,P$8*P$8)/POWER($C$7,2))*$C$35</f>
        <v>8.5129129728000007E-5</v>
      </c>
      <c r="O34" s="684" t="s">
        <v>2</v>
      </c>
      <c r="P34" s="688">
        <f>($E$35/100)*(SUM(O$8*O$8,P$8*P$8)/$C$7)</f>
        <v>1.0042456320000003E-3</v>
      </c>
      <c r="Q34" s="687">
        <f>(SUM(R$8*R$8,S$8*S$8)/POWER($C$7,2))*$C$35</f>
        <v>8.1129240000000032E-5</v>
      </c>
      <c r="R34" s="684" t="s">
        <v>2</v>
      </c>
      <c r="S34" s="688">
        <f>($E$35/100)*(SUM(R$8*R$8,S$8*S$8)/$C$7)</f>
        <v>9.5706000000000035E-4</v>
      </c>
      <c r="T34" s="687">
        <f>(SUM(U$8*U$8,V$8*V$8)/POWER($C$7,2))*$C$35</f>
        <v>8.7140341440000008E-5</v>
      </c>
      <c r="U34" s="684" t="s">
        <v>2</v>
      </c>
      <c r="V34" s="688">
        <f>($E$35/100)*(SUM(U$8*U$8,V$8*V$8)/$C$7)</f>
        <v>1.0279713600000002E-3</v>
      </c>
      <c r="W34" s="687">
        <f>(SUM(X$8*X$8,Y$8*Y$8)/POWER($C$7,2))*$C$35</f>
        <v>9.1996194240000012E-5</v>
      </c>
      <c r="X34" s="684" t="s">
        <v>2</v>
      </c>
      <c r="Y34" s="688">
        <f>($E$35/100)*(SUM(X$8*X$8,Y$8*Y$8)/$C$7)</f>
        <v>1.0852545600000003E-3</v>
      </c>
      <c r="Z34" s="687">
        <f>(SUM(AA$8*AA$8,AB$8*AB$8)/POWER($C$7,2))*$C$35</f>
        <v>9.0460094400000008E-5</v>
      </c>
      <c r="AA34" s="684" t="s">
        <v>2</v>
      </c>
      <c r="AB34" s="688">
        <f>($E$35/100)*(SUM(AA$8*AA$8,AB$8*AB$8)/$C$7)</f>
        <v>1.0671336000000003E-3</v>
      </c>
      <c r="AC34" s="687">
        <f>(SUM(AD$8*AD$8,AE$8*AE$8)/POWER($C$7,2))*$C$35</f>
        <v>9.2872152000000004E-5</v>
      </c>
      <c r="AD34" s="684" t="s">
        <v>2</v>
      </c>
      <c r="AE34" s="688">
        <f>($E$35/100)*(SUM(AD$8*AD$8,AE$8*AE$8)/$C$7)</f>
        <v>1.095588E-3</v>
      </c>
      <c r="AF34" s="687">
        <f>(SUM(AG$8*AG$8,AH$8*AH$8)/POWER($C$7,2))*$C$35</f>
        <v>9.3744301248000004E-5</v>
      </c>
      <c r="AG34" s="684" t="s">
        <v>2</v>
      </c>
      <c r="AH34" s="688">
        <f>($E$35/100)*(SUM(AG$8*AG$8,AH$8*AH$8)/$C$7)</f>
        <v>1.1058765119999999E-3</v>
      </c>
      <c r="AI34" s="687">
        <f>(SUM(AJ$8*AJ$8,AK$8*AK$8)/POWER($C$7,2))*$C$35</f>
        <v>1.06105779072E-4</v>
      </c>
      <c r="AJ34" s="684" t="s">
        <v>2</v>
      </c>
      <c r="AK34" s="688">
        <f>($E$35/100)*(SUM(AJ$8*AJ$8,AK$8*AK$8)/$C$7)</f>
        <v>1.2517015680000001E-3</v>
      </c>
      <c r="AL34" s="687">
        <f>(SUM(AM$8*AM$8,AN$8*AN$8)/POWER($C$7,2))*$C$35</f>
        <v>1.1085880204800002E-4</v>
      </c>
      <c r="AM34" s="684" t="s">
        <v>2</v>
      </c>
      <c r="AN34" s="688">
        <f>($E$35/100)*(SUM(AM$8*AM$8,AN$8*AN$8)/$C$7)</f>
        <v>1.3077717120000003E-3</v>
      </c>
      <c r="AO34" s="687">
        <f>(SUM(AP$8*AP$8,AQ$8*AQ$8)/POWER($C$7,2))*$C$35</f>
        <v>9.6697167551999997E-5</v>
      </c>
      <c r="AP34" s="684" t="s">
        <v>2</v>
      </c>
      <c r="AQ34" s="688">
        <f>($E$35/100)*(SUM(AP$8*AP$8,AQ$8*AQ$8)/$C$7)</f>
        <v>1.1407106880000001E-3</v>
      </c>
      <c r="AR34" s="687">
        <f>(SUM(AS$8*AS$8,AT$8*AT$8)/POWER($C$7,2))*$C$35</f>
        <v>9.1856231424000022E-5</v>
      </c>
      <c r="AS34" s="684" t="s">
        <v>2</v>
      </c>
      <c r="AT34" s="688">
        <f>($E$35/100)*(SUM(AS$8*AS$8,AT$8*AT$8)/$C$7)</f>
        <v>1.0836034560000004E-3</v>
      </c>
      <c r="AU34" s="687">
        <f>(SUM(AV$8*AV$8,AW$8*AW$8)/POWER($C$7,2))*$C$35</f>
        <v>8.5178957759999988E-5</v>
      </c>
      <c r="AV34" s="684" t="s">
        <v>2</v>
      </c>
      <c r="AW34" s="688">
        <f>($E$35/100)*(SUM(AV$8*AV$8,AW$8*AW$8)/$C$7)</f>
        <v>1.0048334399999999E-3</v>
      </c>
      <c r="AX34" s="687">
        <f>(SUM(AY$8*AY$8,AZ$8*AZ$8)/POWER($C$7,2))*$C$35</f>
        <v>8.493616511999999E-5</v>
      </c>
      <c r="AY34" s="684" t="s">
        <v>2</v>
      </c>
      <c r="AZ34" s="688">
        <f>($E$35/100)*(SUM(AY$8*AY$8,AZ$8*AZ$8)/$C$7)</f>
        <v>1.0019692799999999E-3</v>
      </c>
      <c r="BA34" s="687">
        <f>(SUM(BB$8*BB$8,BC$8*BC$8)/POWER($C$7,2))*$C$35</f>
        <v>9.3552606143999984E-5</v>
      </c>
      <c r="BB34" s="684" t="s">
        <v>2</v>
      </c>
      <c r="BC34" s="688">
        <f>($E$35/100)*(SUM(BB$8*BB$8,BC$8*BC$8)/$C$7)</f>
        <v>1.1036151360000002E-3</v>
      </c>
      <c r="BD34" s="687">
        <f>(SUM(BE$8*BE$8,BF$8*BF$8)/POWER($C$7,2))*$C$35</f>
        <v>8.823116275199999E-5</v>
      </c>
      <c r="BE34" s="684" t="s">
        <v>2</v>
      </c>
      <c r="BF34" s="688">
        <f>($E$35/100)*(SUM(BE$8*BE$8,BF$8*BF$8)/$C$7)</f>
        <v>1.0408394879999998E-3</v>
      </c>
      <c r="BG34" s="687">
        <f>(SUM(BH$8*BH$8,BI$8*BI$8)/POWER($C$7,2))*$C$35</f>
        <v>8.7463747584000007E-5</v>
      </c>
      <c r="BH34" s="684" t="s">
        <v>2</v>
      </c>
      <c r="BI34" s="688">
        <f>($E$35/100)*(SUM(BH$8*BH$8,BI$8*BI$8)/$C$7)</f>
        <v>1.0317864960000002E-3</v>
      </c>
      <c r="BJ34" s="687">
        <f>(SUM(BK$8*BK$8,BL$8*BL$8)/POWER($C$7,2))*$C$35</f>
        <v>8.8835129279999967E-5</v>
      </c>
      <c r="BK34" s="684" t="s">
        <v>2</v>
      </c>
      <c r="BL34" s="688">
        <f>($E$35/100)*(SUM(BK$8*BK$8,BL$8*BL$8)/$C$7)</f>
        <v>1.0479643199999998E-3</v>
      </c>
      <c r="BM34" s="687">
        <f>(SUM(BN$8*BN$8,BO$8*BO$8)/POWER($C$7,2))*$C$35</f>
        <v>9.7744190976000006E-5</v>
      </c>
      <c r="BN34" s="684" t="s">
        <v>2</v>
      </c>
      <c r="BO34" s="688">
        <f>($E$35/100)*(SUM(BN$8*BN$8,BO$8*BO$8)/$C$7)</f>
        <v>1.1530621440000001E-3</v>
      </c>
      <c r="BP34" s="687">
        <f>(SUM(BQ$8*BQ$8,BR$8*BR$8)/POWER($C$7,2))*$C$35</f>
        <v>9.6350910335999979E-5</v>
      </c>
      <c r="BQ34" s="684" t="s">
        <v>2</v>
      </c>
      <c r="BR34" s="688">
        <f>($E$35/100)*(SUM(BQ$8*BQ$8,BR$8*BR$8)/$C$7)</f>
        <v>1.1366259839999996E-3</v>
      </c>
      <c r="BS34" s="687">
        <f>(SUM(BT$8*BT$8,BU$8*BU$8)/POWER($C$7,2))*$C$35</f>
        <v>9.4048982207999997E-5</v>
      </c>
      <c r="BT34" s="684" t="s">
        <v>2</v>
      </c>
      <c r="BU34" s="688">
        <f>($E$35/100)*(SUM(BT$8*BT$8,BU$8*BU$8)/$C$7)</f>
        <v>1.109470752E-3</v>
      </c>
      <c r="BV34" s="687">
        <f>(SUM(BW$8*BW$8,BX$8*BX$8)/POWER($C$7,2))*$C$35</f>
        <v>1.0077386227200002E-4</v>
      </c>
      <c r="BW34" s="684" t="s">
        <v>2</v>
      </c>
      <c r="BX34" s="688">
        <f>($E$35/100)*(SUM(BW$8*BW$8,BX$8*BX$8)/$C$7)</f>
        <v>1.1888023680000004E-3</v>
      </c>
      <c r="BY34" s="687">
        <f>(SUM(BZ$8*BZ$8,CA$8*CA$8)/POWER($C$7,2))*$C$35</f>
        <v>8.7849676800000014E-5</v>
      </c>
      <c r="BZ34" s="684" t="s">
        <v>2</v>
      </c>
      <c r="CA34" s="688">
        <f>($E$35/100)*(SUM(BZ$8*BZ$8,CA$8*CA$8)/$C$7)</f>
        <v>1.0363392000000001E-3</v>
      </c>
      <c r="CB34" s="570"/>
    </row>
    <row r="35" spans="1:80" ht="13.5" thickBot="1" x14ac:dyDescent="0.25">
      <c r="A35" s="771"/>
      <c r="B35" s="776" t="s">
        <v>26</v>
      </c>
      <c r="C35" s="777">
        <v>2.2040000000000001E-2</v>
      </c>
      <c r="D35" s="778" t="s">
        <v>27</v>
      </c>
      <c r="E35" s="2332">
        <v>10.4</v>
      </c>
      <c r="F35" s="2332"/>
      <c r="G35" s="779"/>
      <c r="H35" s="691"/>
      <c r="I35" s="692"/>
      <c r="J35" s="693"/>
      <c r="K35" s="691"/>
      <c r="L35" s="692"/>
      <c r="M35" s="693"/>
      <c r="N35" s="691"/>
      <c r="O35" s="692"/>
      <c r="P35" s="693"/>
      <c r="Q35" s="691"/>
      <c r="R35" s="692"/>
      <c r="S35" s="693"/>
      <c r="T35" s="691"/>
      <c r="U35" s="692"/>
      <c r="V35" s="693"/>
      <c r="W35" s="691"/>
      <c r="X35" s="692"/>
      <c r="Y35" s="693"/>
      <c r="Z35" s="691"/>
      <c r="AA35" s="692"/>
      <c r="AB35" s="693"/>
      <c r="AC35" s="691"/>
      <c r="AD35" s="692"/>
      <c r="AE35" s="693"/>
      <c r="AF35" s="691"/>
      <c r="AG35" s="692"/>
      <c r="AH35" s="693"/>
      <c r="AI35" s="691"/>
      <c r="AJ35" s="692"/>
      <c r="AK35" s="693"/>
      <c r="AL35" s="691"/>
      <c r="AM35" s="692"/>
      <c r="AN35" s="693"/>
      <c r="AO35" s="691"/>
      <c r="AP35" s="692"/>
      <c r="AQ35" s="693"/>
      <c r="AR35" s="691"/>
      <c r="AS35" s="692"/>
      <c r="AT35" s="693"/>
      <c r="AU35" s="691"/>
      <c r="AV35" s="692"/>
      <c r="AW35" s="693"/>
      <c r="AX35" s="691"/>
      <c r="AY35" s="692"/>
      <c r="AZ35" s="693"/>
      <c r="BA35" s="691"/>
      <c r="BB35" s="692"/>
      <c r="BC35" s="693"/>
      <c r="BD35" s="691"/>
      <c r="BE35" s="692"/>
      <c r="BF35" s="693"/>
      <c r="BG35" s="691"/>
      <c r="BH35" s="692"/>
      <c r="BI35" s="693"/>
      <c r="BJ35" s="691"/>
      <c r="BK35" s="692"/>
      <c r="BL35" s="693"/>
      <c r="BM35" s="691"/>
      <c r="BN35" s="692"/>
      <c r="BO35" s="693"/>
      <c r="BP35" s="691"/>
      <c r="BQ35" s="692"/>
      <c r="BR35" s="693"/>
      <c r="BS35" s="691"/>
      <c r="BT35" s="692"/>
      <c r="BU35" s="693"/>
      <c r="BV35" s="691"/>
      <c r="BW35" s="692"/>
      <c r="BX35" s="693"/>
      <c r="BY35" s="691"/>
      <c r="BZ35" s="692"/>
      <c r="CA35" s="693"/>
      <c r="CB35" s="570"/>
    </row>
    <row r="36" spans="1:80" ht="13.5" thickBot="1" x14ac:dyDescent="0.25">
      <c r="A36" s="780"/>
      <c r="B36" s="2333" t="s">
        <v>29</v>
      </c>
      <c r="C36" s="2334"/>
      <c r="D36" s="2334"/>
      <c r="E36" s="2334"/>
      <c r="F36" s="2334"/>
      <c r="G36" s="2335"/>
      <c r="H36" s="694">
        <f>SUM(I8,H34,$H$33)</f>
        <v>0.15377928433331201</v>
      </c>
      <c r="I36" s="695" t="s">
        <v>2</v>
      </c>
      <c r="J36" s="696">
        <f>SUM(J8,J34,$J$33)</f>
        <v>6.0835296127999997E-2</v>
      </c>
      <c r="K36" s="694">
        <f>SUM(L8,K34,$H$33)</f>
        <v>0.16188812960243204</v>
      </c>
      <c r="L36" s="695" t="s">
        <v>2</v>
      </c>
      <c r="M36" s="696">
        <f>SUM(M8,M34,$J$33)</f>
        <v>6.1839641407999996E-2</v>
      </c>
      <c r="N36" s="694">
        <f>SUM(O8,N34,$H$33)</f>
        <v>0.15918512912972801</v>
      </c>
      <c r="O36" s="695" t="s">
        <v>2</v>
      </c>
      <c r="P36" s="696">
        <f>SUM(P8,P34,$J$33)</f>
        <v>6.1504245632000007E-2</v>
      </c>
      <c r="Q36" s="694">
        <f>SUM(R8,Q34,$H$33)</f>
        <v>0.15558112924000003</v>
      </c>
      <c r="R36" s="695" t="s">
        <v>2</v>
      </c>
      <c r="S36" s="696">
        <f>SUM(S8,S34,$J$33)</f>
        <v>6.0557059999999996E-2</v>
      </c>
      <c r="T36" s="694">
        <f>SUM(U8,T34,$H$33)</f>
        <v>0.16098714034144002</v>
      </c>
      <c r="U36" s="695" t="s">
        <v>2</v>
      </c>
      <c r="V36" s="696">
        <f>SUM(V8,V34,$J$33)</f>
        <v>6.1827971359999997E-2</v>
      </c>
      <c r="W36" s="694">
        <f>SUM(X8,W34,$H$33)</f>
        <v>0.16549199619424002</v>
      </c>
      <c r="X36" s="695" t="s">
        <v>2</v>
      </c>
      <c r="Y36" s="696">
        <f>SUM(Y8,Y34,$J$33)</f>
        <v>6.098525456E-2</v>
      </c>
      <c r="Z36" s="694">
        <f>SUM(AA8,Z34,$H$33)</f>
        <v>0.16429046009440001</v>
      </c>
      <c r="AA36" s="695" t="s">
        <v>2</v>
      </c>
      <c r="AB36" s="696">
        <f>SUM(AB8,AB34,$J$33)</f>
        <v>5.9767133600000001E-2</v>
      </c>
      <c r="AC36" s="694">
        <f>SUM(AD8,AC34,$H$33)</f>
        <v>0.16639287215199999</v>
      </c>
      <c r="AD36" s="695" t="s">
        <v>2</v>
      </c>
      <c r="AE36" s="696">
        <f>SUM(AE8,AE34,$J$33)</f>
        <v>6.0095588000000005E-2</v>
      </c>
      <c r="AF36" s="694">
        <f>SUM(AG8,AF34,$H$33)</f>
        <v>0.166993744301248</v>
      </c>
      <c r="AG36" s="695" t="s">
        <v>2</v>
      </c>
      <c r="AH36" s="696">
        <f>SUM(AH8,AH34,$J$33)</f>
        <v>6.1305876512000007E-2</v>
      </c>
      <c r="AI36" s="694">
        <f>SUM(AJ8,AI34,$H$33)</f>
        <v>0.17690610577907201</v>
      </c>
      <c r="AJ36" s="695" t="s">
        <v>2</v>
      </c>
      <c r="AK36" s="696">
        <f>SUM(AK8,AK34,$J$33)</f>
        <v>6.5651701568000001E-2</v>
      </c>
      <c r="AL36" s="694">
        <f>SUM(AM8,AL34,$H$33)</f>
        <v>0.18051085880204801</v>
      </c>
      <c r="AM36" s="695" t="s">
        <v>2</v>
      </c>
      <c r="AN36" s="696">
        <f>SUM(AN8,AN34,$J$33)</f>
        <v>6.7507771712000009E-2</v>
      </c>
      <c r="AO36" s="694">
        <f>SUM(AP8,AO34,$H$33)</f>
        <v>0.16939669716755201</v>
      </c>
      <c r="AP36" s="695" t="s">
        <v>2</v>
      </c>
      <c r="AQ36" s="696">
        <f>SUM(AQ8,AQ34,$J$33)</f>
        <v>6.2540710688000004E-2</v>
      </c>
      <c r="AR36" s="694">
        <f>SUM(AS8,AR34,$H$33)</f>
        <v>0.16519185623142402</v>
      </c>
      <c r="AS36" s="695" t="s">
        <v>2</v>
      </c>
      <c r="AT36" s="696">
        <f>SUM(AT8,AT34,$J$33)</f>
        <v>6.2183603456000006E-2</v>
      </c>
      <c r="AU36" s="694">
        <f>SUM(AV8,AU34,$H$33)</f>
        <v>0.15918517895775999</v>
      </c>
      <c r="AV36" s="695" t="s">
        <v>2</v>
      </c>
      <c r="AW36" s="696">
        <f>SUM(AW8,AW34,$J$33)</f>
        <v>6.1804833439999998E-2</v>
      </c>
      <c r="AX36" s="694">
        <f>SUM(AY8,AX34,$H$33)</f>
        <v>0.15918493616512</v>
      </c>
      <c r="AY36" s="695" t="s">
        <v>2</v>
      </c>
      <c r="AZ36" s="696">
        <f>SUM(AZ8,AZ34,$J$33)</f>
        <v>6.0301969280000006E-2</v>
      </c>
      <c r="BA36" s="694">
        <f>SUM(BB8,BA34,$H$33)</f>
        <v>0.16669355260614399</v>
      </c>
      <c r="BB36" s="695" t="s">
        <v>2</v>
      </c>
      <c r="BC36" s="696">
        <f>SUM(BC8,BC34,$J$33)</f>
        <v>6.2203615136E-2</v>
      </c>
      <c r="BD36" s="694">
        <f>SUM(BE8,BD34,$H$33)</f>
        <v>0.161888231162752</v>
      </c>
      <c r="BE36" s="695" t="s">
        <v>2</v>
      </c>
      <c r="BF36" s="696">
        <f>SUM(BF8,BF34,$J$33)</f>
        <v>6.2440839488E-2</v>
      </c>
      <c r="BG36" s="694">
        <f>SUM(BH8,BG34,$H$33)</f>
        <v>0.16158746374758401</v>
      </c>
      <c r="BH36" s="695" t="s">
        <v>2</v>
      </c>
      <c r="BI36" s="696">
        <f>SUM(BI8,BI34,$J$33)</f>
        <v>5.9731786496E-2</v>
      </c>
      <c r="BJ36" s="694">
        <f>SUM(BK8,BJ34,$H$33)</f>
        <v>0.16278883512928</v>
      </c>
      <c r="BK36" s="695" t="s">
        <v>2</v>
      </c>
      <c r="BL36" s="696">
        <f>SUM(BL8,BL34,$J$33)</f>
        <v>6.0047964320000008E-2</v>
      </c>
      <c r="BM36" s="694">
        <f>SUM(BN8,BM34,$H$33)</f>
        <v>0.17059774419097601</v>
      </c>
      <c r="BN36" s="695" t="s">
        <v>2</v>
      </c>
      <c r="BO36" s="696">
        <f>SUM(BO8,BO34,$J$33)</f>
        <v>6.0453062144000001E-2</v>
      </c>
      <c r="BP36" s="694">
        <f>SUM(BQ8,BP34,$H$33)</f>
        <v>0.16909635091033598</v>
      </c>
      <c r="BQ36" s="695" t="s">
        <v>2</v>
      </c>
      <c r="BR36" s="696">
        <f>SUM(BR8,BR34,$J$33)</f>
        <v>6.2536625984000005E-2</v>
      </c>
      <c r="BS36" s="694">
        <f>SUM(BT8,BS34,$H$33)</f>
        <v>0.16699404898220799</v>
      </c>
      <c r="BT36" s="695" t="s">
        <v>2</v>
      </c>
      <c r="BU36" s="696">
        <f>SUM(BU8,BU34,$J$33)</f>
        <v>6.3109470752000005E-2</v>
      </c>
      <c r="BV36" s="694">
        <f>SUM(BW8,BV34,$H$33)</f>
        <v>0.17330077386227202</v>
      </c>
      <c r="BW36" s="695" t="s">
        <v>2</v>
      </c>
      <c r="BX36" s="696">
        <f>SUM(BX8,BX34,$J$33)</f>
        <v>5.9588802368000002E-2</v>
      </c>
      <c r="BY36" s="694">
        <f>SUM(BZ8,BY34,$H$33)</f>
        <v>0.16158784967680001</v>
      </c>
      <c r="BZ36" s="695" t="s">
        <v>2</v>
      </c>
      <c r="CA36" s="696">
        <f>SUM(CA8,CA34,$J$33)</f>
        <v>6.2136339200000001E-2</v>
      </c>
      <c r="CB36" s="570"/>
    </row>
    <row r="37" spans="1:80" x14ac:dyDescent="0.2">
      <c r="A37" s="768"/>
      <c r="B37" s="753" t="s">
        <v>22</v>
      </c>
      <c r="C37" s="769"/>
      <c r="D37" s="769" t="s">
        <v>202</v>
      </c>
      <c r="E37" s="769"/>
      <c r="F37" s="769"/>
      <c r="G37" s="770"/>
      <c r="H37" s="683">
        <v>5.4999999999999997E-3</v>
      </c>
      <c r="I37" s="684" t="s">
        <v>2</v>
      </c>
      <c r="J37" s="685">
        <v>3.7100000000000001E-2</v>
      </c>
      <c r="K37" s="683"/>
      <c r="L37" s="684"/>
      <c r="M37" s="685"/>
      <c r="N37" s="683"/>
      <c r="O37" s="684"/>
      <c r="P37" s="685"/>
      <c r="Q37" s="683"/>
      <c r="R37" s="684"/>
      <c r="S37" s="685"/>
      <c r="T37" s="683"/>
      <c r="U37" s="684"/>
      <c r="V37" s="685"/>
      <c r="W37" s="683"/>
      <c r="X37" s="684"/>
      <c r="Y37" s="685"/>
      <c r="Z37" s="683"/>
      <c r="AA37" s="684"/>
      <c r="AB37" s="685"/>
      <c r="AC37" s="683"/>
      <c r="AD37" s="684"/>
      <c r="AE37" s="685"/>
      <c r="AF37" s="683"/>
      <c r="AG37" s="684"/>
      <c r="AH37" s="685"/>
      <c r="AI37" s="683"/>
      <c r="AJ37" s="684"/>
      <c r="AK37" s="685"/>
      <c r="AL37" s="683"/>
      <c r="AM37" s="684"/>
      <c r="AN37" s="685"/>
      <c r="AO37" s="683"/>
      <c r="AP37" s="684"/>
      <c r="AQ37" s="685"/>
      <c r="AR37" s="683"/>
      <c r="AS37" s="684"/>
      <c r="AT37" s="685"/>
      <c r="AU37" s="683"/>
      <c r="AV37" s="684"/>
      <c r="AW37" s="685"/>
      <c r="AX37" s="683"/>
      <c r="AY37" s="684"/>
      <c r="AZ37" s="685"/>
      <c r="BA37" s="683"/>
      <c r="BB37" s="684"/>
      <c r="BC37" s="685"/>
      <c r="BD37" s="683"/>
      <c r="BE37" s="684"/>
      <c r="BF37" s="685"/>
      <c r="BG37" s="683"/>
      <c r="BH37" s="684"/>
      <c r="BI37" s="685"/>
      <c r="BJ37" s="683"/>
      <c r="BK37" s="684"/>
      <c r="BL37" s="685"/>
      <c r="BM37" s="683"/>
      <c r="BN37" s="684"/>
      <c r="BO37" s="685"/>
      <c r="BP37" s="683"/>
      <c r="BQ37" s="684"/>
      <c r="BR37" s="685"/>
      <c r="BS37" s="683"/>
      <c r="BT37" s="684"/>
      <c r="BU37" s="685"/>
      <c r="BV37" s="683"/>
      <c r="BW37" s="684"/>
      <c r="BX37" s="685"/>
      <c r="BY37" s="683"/>
      <c r="BZ37" s="684"/>
      <c r="CA37" s="685"/>
      <c r="CB37" s="570"/>
    </row>
    <row r="38" spans="1:80" x14ac:dyDescent="0.2">
      <c r="A38" s="781" t="s">
        <v>1</v>
      </c>
      <c r="B38" s="772" t="s">
        <v>23</v>
      </c>
      <c r="C38" s="773"/>
      <c r="D38" s="774" t="s">
        <v>24</v>
      </c>
      <c r="E38" s="774"/>
      <c r="F38" s="774"/>
      <c r="G38" s="775"/>
      <c r="H38" s="782">
        <f>(SUM(I$14*I$14,J$14*J$14)/POWER($C$13,2))*$C$39</f>
        <v>2.1307592908799999E-4</v>
      </c>
      <c r="I38" s="684" t="s">
        <v>2</v>
      </c>
      <c r="J38" s="688">
        <f>($E$39/100)*(SUM(I$14*I$14,J$14*J$14)/$C$13)</f>
        <v>2.5551590399999998E-3</v>
      </c>
      <c r="K38" s="782">
        <f>(SUM(L$14*L$14,M$14*M$14)/POWER($C$13,2))*$C$39</f>
        <v>1.9572959260799998E-4</v>
      </c>
      <c r="L38" s="684" t="s">
        <v>2</v>
      </c>
      <c r="M38" s="688">
        <f>($E$39/100)*(SUM(L$14*L$14,M$14*M$14)/$C$13)</f>
        <v>2.3471456399999997E-3</v>
      </c>
      <c r="N38" s="782">
        <f>(SUM(O$14*O$14,P$14*P$14)/POWER($C$13,2))*$C$39</f>
        <v>1.8035808436800001E-4</v>
      </c>
      <c r="O38" s="684" t="s">
        <v>2</v>
      </c>
      <c r="P38" s="688">
        <f>($E$39/100)*(SUM(O$14*O$14,P$14*P$14)/$C$13)</f>
        <v>2.1628139399999997E-3</v>
      </c>
      <c r="Q38" s="782">
        <f>(SUM(R$14*R$14,S$14*S$14)/POWER($C$13,2))*$C$39</f>
        <v>1.8073382184E-4</v>
      </c>
      <c r="R38" s="684" t="s">
        <v>2</v>
      </c>
      <c r="S38" s="688">
        <f>($E$39/100)*(SUM(R$14*R$14,S$14*S$14)/$C$13)</f>
        <v>2.1673197000000003E-3</v>
      </c>
      <c r="T38" s="782">
        <f>(SUM(U$14*U$14,V$14*V$14)/POWER($C$13,2))*$C$39</f>
        <v>1.7984491272000002E-4</v>
      </c>
      <c r="U38" s="684" t="s">
        <v>2</v>
      </c>
      <c r="V38" s="688">
        <f>($E$39/100)*(SUM(U$14*U$14,V$14*V$14)/$C$13)</f>
        <v>2.1566600999999999E-3</v>
      </c>
      <c r="W38" s="782">
        <f>(SUM(X$14*X$14,Y$14*Y$14)/POWER($C$13,2))*$C$39</f>
        <v>2.0046350649600002E-4</v>
      </c>
      <c r="X38" s="684" t="s">
        <v>2</v>
      </c>
      <c r="Y38" s="688">
        <f>($E$39/100)*(SUM(X$14*X$14,Y$14*Y$14)/$C$13)</f>
        <v>2.4039136800000005E-3</v>
      </c>
      <c r="Z38" s="782">
        <f>(SUM(AA$14*AA$14,AB$14*AB$14)/POWER($C$13,2))*$C$39</f>
        <v>3.0455476444799998E-4</v>
      </c>
      <c r="AA38" s="684" t="s">
        <v>2</v>
      </c>
      <c r="AB38" s="688">
        <f>($E$39/100)*(SUM(AA$14*AA$14,AB$14*AB$14)/$C$13)</f>
        <v>3.6521528399999998E-3</v>
      </c>
      <c r="AC38" s="782">
        <f>(SUM(AD$14*AD$14,AE$14*AE$14)/POWER($C$13,2))*$C$39</f>
        <v>3.6137780711999992E-4</v>
      </c>
      <c r="AD38" s="684" t="s">
        <v>2</v>
      </c>
      <c r="AE38" s="688">
        <f>($E$39/100)*(SUM(AD$14*AD$14,AE$14*AE$14)/$C$13)</f>
        <v>4.3335620999999987E-3</v>
      </c>
      <c r="AF38" s="782">
        <f>(SUM(AG$14*AG$14,AH$14*AH$14)/POWER($C$13,2))*$C$39</f>
        <v>4.0491165844799999E-4</v>
      </c>
      <c r="AG38" s="684" t="s">
        <v>2</v>
      </c>
      <c r="AH38" s="688">
        <f>($E$39/100)*(SUM(AG$14*AG$14,AH$14*AH$14)/$C$13)</f>
        <v>4.8556103400000002E-3</v>
      </c>
      <c r="AI38" s="782">
        <f>(SUM(AJ$14*AJ$14,AK$14*AK$14)/POWER($C$13,2))*$C$39</f>
        <v>4.3578801129599994E-4</v>
      </c>
      <c r="AJ38" s="684" t="s">
        <v>2</v>
      </c>
      <c r="AK38" s="688">
        <f>($E$39/100)*(SUM(AJ$14*AJ$14,AK$14*AK$14)/$C$13)</f>
        <v>5.2258726799999993E-3</v>
      </c>
      <c r="AL38" s="782">
        <f>(SUM(AM$14*AM$14,AN$14*AN$14)/POWER($C$13,2))*$C$39</f>
        <v>3.9063615623999997E-4</v>
      </c>
      <c r="AM38" s="684" t="s">
        <v>2</v>
      </c>
      <c r="AN38" s="688">
        <f>($E$39/100)*(SUM(AM$14*AM$14,AN$14*AN$14)/$C$13)</f>
        <v>4.6844217E-3</v>
      </c>
      <c r="AO38" s="782">
        <f>(SUM(AP$14*AP$14,AQ$14*AQ$14)/POWER($C$13,2))*$C$39</f>
        <v>3.7234101960000005E-4</v>
      </c>
      <c r="AP38" s="684" t="s">
        <v>2</v>
      </c>
      <c r="AQ38" s="688">
        <f>($E$39/100)*(SUM(AP$14*AP$14,AQ$14*AQ$14)/$C$13)</f>
        <v>4.4650304999999998E-3</v>
      </c>
      <c r="AR38" s="782">
        <f>(SUM(AS$14*AS$14,AT$14*AT$14)/POWER($C$13,2))*$C$39</f>
        <v>3.3756512961600002E-4</v>
      </c>
      <c r="AS38" s="684" t="s">
        <v>2</v>
      </c>
      <c r="AT38" s="688">
        <f>($E$39/100)*(SUM(AS$14*AS$14,AT$14*AT$14)/$C$13)</f>
        <v>4.0480057799999998E-3</v>
      </c>
      <c r="AU38" s="782">
        <f>(SUM(AV$14*AV$14,AW$14*AW$14)/POWER($C$13,2))*$C$39</f>
        <v>3.2627188598400008E-4</v>
      </c>
      <c r="AV38" s="684" t="s">
        <v>2</v>
      </c>
      <c r="AW38" s="688">
        <f>($E$39/100)*(SUM(AV$14*AV$14,AW$14*AW$14)/$C$13)</f>
        <v>3.9125797200000008E-3</v>
      </c>
      <c r="AX38" s="782">
        <f>(SUM(AY$14*AY$14,AZ$14*AZ$14)/POWER($C$13,2))*$C$39</f>
        <v>3.2386836398399995E-4</v>
      </c>
      <c r="AY38" s="684" t="s">
        <v>2</v>
      </c>
      <c r="AZ38" s="688">
        <f>($E$39/100)*(SUM(AY$14*AY$14,AZ$14*AZ$14)/$C$13)</f>
        <v>3.8837572199999994E-3</v>
      </c>
      <c r="BA38" s="782">
        <f>(SUM(BB$14*BB$14,BC$14*BC$14)/POWER($C$13,2))*$C$39</f>
        <v>3.4341207120000002E-4</v>
      </c>
      <c r="BB38" s="684" t="s">
        <v>2</v>
      </c>
      <c r="BC38" s="688">
        <f>($E$39/100)*(SUM(BB$14*BB$14,BC$14*BC$14)/$C$13)</f>
        <v>4.1181209999999998E-3</v>
      </c>
      <c r="BD38" s="782">
        <f>(SUM(BE$14*BE$14,BF$14*BF$14)/POWER($C$13,2))*$C$39</f>
        <v>4.3992837345599998E-4</v>
      </c>
      <c r="BE38" s="684" t="s">
        <v>2</v>
      </c>
      <c r="BF38" s="688">
        <f>($E$39/100)*(SUM(BE$14*BE$14,BF$14*BF$14)/$C$13)</f>
        <v>5.2755229799999999E-3</v>
      </c>
      <c r="BG38" s="782">
        <f>(SUM(BH$14*BH$14,BI$14*BI$14)/POWER($C$13,2))*$C$39</f>
        <v>4.2796277409600008E-4</v>
      </c>
      <c r="BH38" s="684" t="s">
        <v>2</v>
      </c>
      <c r="BI38" s="688">
        <f>($E$39/100)*(SUM(BH$14*BH$14,BI$14*BI$14)/$C$13)</f>
        <v>5.1320341800000007E-3</v>
      </c>
      <c r="BJ38" s="782">
        <f>(SUM(BK$14*BK$14,BL$14*BL$14)/POWER($C$13,2))*$C$39</f>
        <v>4.0267866830400004E-4</v>
      </c>
      <c r="BK38" s="684" t="s">
        <v>2</v>
      </c>
      <c r="BL38" s="688">
        <f>($E$39/100)*(SUM(BK$14*BK$14,BL$14*BL$14)/$C$13)</f>
        <v>4.828832820000001E-3</v>
      </c>
      <c r="BM38" s="782">
        <f>(SUM(BN$14*BN$14,BO$14*BO$14)/POWER($C$13,2))*$C$39</f>
        <v>3.8675553206400003E-4</v>
      </c>
      <c r="BN38" s="684" t="s">
        <v>2</v>
      </c>
      <c r="BO38" s="688">
        <f>($E$39/100)*(SUM(BN$14*BN$14,BO$14*BO$14)/$C$13)</f>
        <v>4.6378861200000003E-3</v>
      </c>
      <c r="BP38" s="782">
        <f>(SUM(BQ$14*BQ$14,BR$14*BR$14)/POWER($C$13,2))*$C$39</f>
        <v>3.7798590772799998E-4</v>
      </c>
      <c r="BQ38" s="684" t="s">
        <v>2</v>
      </c>
      <c r="BR38" s="688">
        <f>($E$39/100)*(SUM(BQ$14*BQ$14,BR$14*BR$14)/$C$13)</f>
        <v>4.53272274E-3</v>
      </c>
      <c r="BS38" s="782">
        <f>(SUM(BT$14*BT$14,BU$14*BU$14)/POWER($C$13,2))*$C$39</f>
        <v>3.7209861849599993E-4</v>
      </c>
      <c r="BT38" s="684" t="s">
        <v>2</v>
      </c>
      <c r="BU38" s="688">
        <f>($E$39/100)*(SUM(BT$14*BT$14,BU$14*BU$14)/$C$13)</f>
        <v>4.4621236799999991E-3</v>
      </c>
      <c r="BV38" s="782">
        <f>(SUM(BW$14*BW$14,BX$14*BX$14)/POWER($C$13,2))*$C$39</f>
        <v>3.4403588366400001E-4</v>
      </c>
      <c r="BW38" s="684" t="s">
        <v>2</v>
      </c>
      <c r="BX38" s="688">
        <f>($E$39/100)*(SUM(BW$14*BW$14,BX$14*BX$14)/$C$13)</f>
        <v>4.1256016199999997E-3</v>
      </c>
      <c r="BY38" s="782">
        <f>(SUM(BZ$14*BZ$14,CA$14*CA$14)/POWER($C$13,2))*$C$39</f>
        <v>2.9113349759999995E-4</v>
      </c>
      <c r="BZ38" s="684" t="s">
        <v>2</v>
      </c>
      <c r="CA38" s="688">
        <f>($E$39/100)*(SUM(BZ$14*BZ$14,CA$14*CA$14)/$C$13)</f>
        <v>3.4912079999999996E-3</v>
      </c>
      <c r="CB38" s="570"/>
    </row>
    <row r="39" spans="1:80" ht="13.5" thickBot="1" x14ac:dyDescent="0.25">
      <c r="A39" s="781"/>
      <c r="B39" s="776" t="s">
        <v>26</v>
      </c>
      <c r="C39" s="777">
        <v>2.189E-2</v>
      </c>
      <c r="D39" s="778" t="s">
        <v>27</v>
      </c>
      <c r="E39" s="2336">
        <v>10.5</v>
      </c>
      <c r="F39" s="2336"/>
      <c r="G39" s="783"/>
      <c r="H39" s="784"/>
      <c r="I39" s="785"/>
      <c r="J39" s="786"/>
      <c r="K39" s="784"/>
      <c r="L39" s="785"/>
      <c r="M39" s="786"/>
      <c r="N39" s="784"/>
      <c r="O39" s="785"/>
      <c r="P39" s="786"/>
      <c r="Q39" s="784"/>
      <c r="R39" s="785"/>
      <c r="S39" s="786"/>
      <c r="T39" s="784"/>
      <c r="U39" s="785"/>
      <c r="V39" s="786"/>
      <c r="W39" s="784"/>
      <c r="X39" s="785"/>
      <c r="Y39" s="786"/>
      <c r="Z39" s="784"/>
      <c r="AA39" s="785"/>
      <c r="AB39" s="786"/>
      <c r="AC39" s="784"/>
      <c r="AD39" s="785"/>
      <c r="AE39" s="786"/>
      <c r="AF39" s="784"/>
      <c r="AG39" s="785"/>
      <c r="AH39" s="786"/>
      <c r="AI39" s="784"/>
      <c r="AJ39" s="785"/>
      <c r="AK39" s="786"/>
      <c r="AL39" s="784"/>
      <c r="AM39" s="785"/>
      <c r="AN39" s="786"/>
      <c r="AO39" s="784"/>
      <c r="AP39" s="785"/>
      <c r="AQ39" s="786"/>
      <c r="AR39" s="784"/>
      <c r="AS39" s="785"/>
      <c r="AT39" s="786"/>
      <c r="AU39" s="784"/>
      <c r="AV39" s="785"/>
      <c r="AW39" s="786"/>
      <c r="AX39" s="784"/>
      <c r="AY39" s="785"/>
      <c r="AZ39" s="786"/>
      <c r="BA39" s="784"/>
      <c r="BB39" s="785"/>
      <c r="BC39" s="786"/>
      <c r="BD39" s="784"/>
      <c r="BE39" s="785"/>
      <c r="BF39" s="786"/>
      <c r="BG39" s="784"/>
      <c r="BH39" s="785"/>
      <c r="BI39" s="786"/>
      <c r="BJ39" s="784"/>
      <c r="BK39" s="785"/>
      <c r="BL39" s="786"/>
      <c r="BM39" s="784"/>
      <c r="BN39" s="785"/>
      <c r="BO39" s="786"/>
      <c r="BP39" s="784"/>
      <c r="BQ39" s="785"/>
      <c r="BR39" s="786"/>
      <c r="BS39" s="784"/>
      <c r="BT39" s="785"/>
      <c r="BU39" s="786"/>
      <c r="BV39" s="784"/>
      <c r="BW39" s="785"/>
      <c r="BX39" s="786"/>
      <c r="BY39" s="784"/>
      <c r="BZ39" s="785"/>
      <c r="CA39" s="786"/>
      <c r="CB39" s="570"/>
    </row>
    <row r="40" spans="1:80" ht="13.5" thickBot="1" x14ac:dyDescent="0.25">
      <c r="A40" s="780"/>
      <c r="B40" s="2333" t="s">
        <v>29</v>
      </c>
      <c r="C40" s="2334"/>
      <c r="D40" s="2334"/>
      <c r="E40" s="2334"/>
      <c r="F40" s="2334"/>
      <c r="G40" s="2335"/>
      <c r="H40" s="694">
        <f>SUM(I14,$H$37,H38)</f>
        <v>0.24811307592908802</v>
      </c>
      <c r="I40" s="695" t="s">
        <v>2</v>
      </c>
      <c r="J40" s="696">
        <f>SUM(J14,$J$37,J38)</f>
        <v>8.525515904E-2</v>
      </c>
      <c r="K40" s="694">
        <f>SUM(L14,$H$37,K38)</f>
        <v>0.237595729592608</v>
      </c>
      <c r="L40" s="695" t="s">
        <v>2</v>
      </c>
      <c r="M40" s="696">
        <f>SUM(M14,$J$37,M38)</f>
        <v>8.5347145640000011E-2</v>
      </c>
      <c r="N40" s="694">
        <f>SUM(O14,$H$37,N38)</f>
        <v>0.228280358084368</v>
      </c>
      <c r="O40" s="695" t="s">
        <v>2</v>
      </c>
      <c r="P40" s="696">
        <f>SUM(P14,$J$37,P38)</f>
        <v>8.3362813939999988E-2</v>
      </c>
      <c r="Q40" s="694">
        <f>SUM(R14,$H$37,Q38)</f>
        <v>0.22858073382184002</v>
      </c>
      <c r="R40" s="695" t="s">
        <v>2</v>
      </c>
      <c r="S40" s="696">
        <f>SUM(S14,$J$37,S38)</f>
        <v>8.3067319700000003E-2</v>
      </c>
      <c r="T40" s="694">
        <f>SUM(U14,$H$37,T38)</f>
        <v>0.22857984491272001</v>
      </c>
      <c r="U40" s="695" t="s">
        <v>2</v>
      </c>
      <c r="V40" s="696">
        <f>SUM(V14,$J$37,V38)</f>
        <v>8.0056660099999996E-2</v>
      </c>
      <c r="W40" s="694">
        <f>SUM(X14,$H$37,W38)</f>
        <v>0.23970046350649601</v>
      </c>
      <c r="X40" s="695" t="s">
        <v>2</v>
      </c>
      <c r="Y40" s="696">
        <f>SUM(Y14,$J$37,Y38)</f>
        <v>8.9303913679999999E-2</v>
      </c>
      <c r="Z40" s="694">
        <f>SUM(AA14,$H$37,Z38)</f>
        <v>0.29470455476444801</v>
      </c>
      <c r="AA40" s="695" t="s">
        <v>2</v>
      </c>
      <c r="AB40" s="696">
        <f>SUM(AB14,$J$37,AB38)</f>
        <v>9.985215284E-2</v>
      </c>
      <c r="AC40" s="694">
        <f>SUM(AD14,$H$37,AC38)</f>
        <v>0.32176137780711994</v>
      </c>
      <c r="AD40" s="695" t="s">
        <v>2</v>
      </c>
      <c r="AE40" s="696">
        <f>SUM(AE14,$J$37,AE38)</f>
        <v>9.9633562099999989E-2</v>
      </c>
      <c r="AF40" s="694">
        <f>SUM(AG14,$H$37,AF38)</f>
        <v>0.34100491165844804</v>
      </c>
      <c r="AG40" s="695" t="s">
        <v>2</v>
      </c>
      <c r="AH40" s="696">
        <f>SUM(AH14,$J$37,AH38)</f>
        <v>9.9555610340000003E-2</v>
      </c>
      <c r="AI40" s="694">
        <f>SUM(AJ14,$H$37,AI38)</f>
        <v>0.35543578801129599</v>
      </c>
      <c r="AJ40" s="695" t="s">
        <v>2</v>
      </c>
      <c r="AK40" s="696">
        <f>SUM(AK14,$J$37,AK38)</f>
        <v>9.0025872680000008E-2</v>
      </c>
      <c r="AL40" s="694">
        <f>SUM(AM14,$H$37,AL38)</f>
        <v>0.33709063615624002</v>
      </c>
      <c r="AM40" s="695" t="s">
        <v>2</v>
      </c>
      <c r="AN40" s="696">
        <f>SUM(AN14,$J$37,AN38)</f>
        <v>8.4684421699999998E-2</v>
      </c>
      <c r="AO40" s="694">
        <f>SUM(AP14,$H$37,AO38)</f>
        <v>0.3283723410196</v>
      </c>
      <c r="AP40" s="695" t="s">
        <v>2</v>
      </c>
      <c r="AQ40" s="696">
        <f>SUM(AQ14,$J$37,AQ38)</f>
        <v>8.9565030500000004E-2</v>
      </c>
      <c r="AR40" s="694">
        <f>SUM(AS14,$H$37,AR38)</f>
        <v>0.31363756512961605</v>
      </c>
      <c r="AS40" s="695" t="s">
        <v>2</v>
      </c>
      <c r="AT40" s="696">
        <f>SUM(AT14,$J$37,AT38)</f>
        <v>8.1648005780000005E-2</v>
      </c>
      <c r="AU40" s="694">
        <f>SUM(AV14,$H$37,AU38)</f>
        <v>0.30792627188598404</v>
      </c>
      <c r="AV40" s="695" t="s">
        <v>2</v>
      </c>
      <c r="AW40" s="696">
        <f>SUM(AW14,$J$37,AW38)</f>
        <v>8.4512579720000008E-2</v>
      </c>
      <c r="AX40" s="694">
        <f>SUM(AY14,$H$37,AX38)</f>
        <v>0.30732386836398401</v>
      </c>
      <c r="AY40" s="695" t="s">
        <v>2</v>
      </c>
      <c r="AZ40" s="696">
        <f>SUM(AZ14,$J$37,AZ38)</f>
        <v>8.058375722000001E-2</v>
      </c>
      <c r="BA40" s="694">
        <f>SUM(BB14,$H$37,BA38)</f>
        <v>0.31634341207119998</v>
      </c>
      <c r="BB40" s="695" t="s">
        <v>2</v>
      </c>
      <c r="BC40" s="696">
        <f>SUM(BC14,$J$37,BC38)</f>
        <v>8.1718121000000005E-2</v>
      </c>
      <c r="BD40" s="694">
        <f>SUM(BE14,$H$37,BD38)</f>
        <v>0.355439928373456</v>
      </c>
      <c r="BE40" s="695" t="s">
        <v>2</v>
      </c>
      <c r="BF40" s="696">
        <f>SUM(BF14,$J$37,BF38)</f>
        <v>0.10117552298000002</v>
      </c>
      <c r="BG40" s="694">
        <f>SUM(BH14,$H$37,BG38)</f>
        <v>0.34942796277409605</v>
      </c>
      <c r="BH40" s="695" t="s">
        <v>2</v>
      </c>
      <c r="BI40" s="696">
        <f>SUM(BI14,$J$37,BI38)</f>
        <v>0.10703203418000001</v>
      </c>
      <c r="BJ40" s="694">
        <f>SUM(BK14,$H$37,BJ38)</f>
        <v>0.33890267866830404</v>
      </c>
      <c r="BK40" s="695" t="s">
        <v>2</v>
      </c>
      <c r="BL40" s="696">
        <f>SUM(BL14,$J$37,BL38)</f>
        <v>0.10582883282000001</v>
      </c>
      <c r="BM40" s="694">
        <f>SUM(BN14,$H$37,BM38)</f>
        <v>0.33138675553206404</v>
      </c>
      <c r="BN40" s="695" t="s">
        <v>2</v>
      </c>
      <c r="BO40" s="696">
        <f>SUM(BO14,$J$37,BO38)</f>
        <v>0.10863788612000001</v>
      </c>
      <c r="BP40" s="694">
        <f>SUM(BQ14,$H$37,BP38)</f>
        <v>0.32897798590772798</v>
      </c>
      <c r="BQ40" s="695" t="s">
        <v>2</v>
      </c>
      <c r="BR40" s="696">
        <f>SUM(BR14,$J$37,BR38)</f>
        <v>0.10103272274</v>
      </c>
      <c r="BS40" s="694">
        <f>SUM(BT14,$H$37,BS38)</f>
        <v>0.325672098618496</v>
      </c>
      <c r="BT40" s="695" t="s">
        <v>2</v>
      </c>
      <c r="BU40" s="696">
        <f>SUM(BU14,$J$37,BU38)</f>
        <v>0.10456212367999999</v>
      </c>
      <c r="BV40" s="694">
        <f>SUM(BW14,$H$37,BV38)</f>
        <v>0.313344035883664</v>
      </c>
      <c r="BW40" s="695" t="s">
        <v>2</v>
      </c>
      <c r="BX40" s="696">
        <f>SUM(BX14,$J$37,BX38)</f>
        <v>0.10182560162</v>
      </c>
      <c r="BY40" s="694">
        <f>SUM(BZ14,$H$37,BY38)</f>
        <v>0.28779113349759999</v>
      </c>
      <c r="BZ40" s="695" t="s">
        <v>2</v>
      </c>
      <c r="CA40" s="696">
        <f>SUM(CA14,$J$37,CA38)</f>
        <v>0.10059120799999999</v>
      </c>
      <c r="CB40" s="570"/>
    </row>
    <row r="41" spans="1:80" x14ac:dyDescent="0.2">
      <c r="A41" s="787" t="s">
        <v>20</v>
      </c>
      <c r="B41" s="788"/>
      <c r="C41" s="789"/>
      <c r="D41" s="788"/>
      <c r="E41" s="538"/>
      <c r="F41" s="708"/>
      <c r="G41" s="779"/>
      <c r="H41" s="504"/>
      <c r="I41" s="790"/>
      <c r="J41" s="505"/>
      <c r="K41" s="504"/>
      <c r="L41" s="790"/>
      <c r="M41" s="505"/>
      <c r="N41" s="504"/>
      <c r="O41" s="790"/>
      <c r="P41" s="505"/>
      <c r="Q41" s="504"/>
      <c r="R41" s="790"/>
      <c r="S41" s="505"/>
      <c r="T41" s="504"/>
      <c r="U41" s="790"/>
      <c r="V41" s="505"/>
      <c r="W41" s="504"/>
      <c r="X41" s="790"/>
      <c r="Y41" s="505"/>
      <c r="Z41" s="504"/>
      <c r="AA41" s="790"/>
      <c r="AB41" s="505"/>
      <c r="AC41" s="504"/>
      <c r="AD41" s="790"/>
      <c r="AE41" s="505"/>
      <c r="AF41" s="504"/>
      <c r="AG41" s="790"/>
      <c r="AH41" s="505"/>
      <c r="AI41" s="504"/>
      <c r="AJ41" s="790"/>
      <c r="AK41" s="505"/>
      <c r="AL41" s="504"/>
      <c r="AM41" s="790"/>
      <c r="AN41" s="505"/>
      <c r="AO41" s="504"/>
      <c r="AP41" s="790"/>
      <c r="AQ41" s="505"/>
      <c r="AR41" s="504"/>
      <c r="AS41" s="790"/>
      <c r="AT41" s="505"/>
      <c r="AU41" s="504"/>
      <c r="AV41" s="790"/>
      <c r="AW41" s="505"/>
      <c r="AX41" s="504"/>
      <c r="AY41" s="790"/>
      <c r="AZ41" s="505"/>
      <c r="BA41" s="504"/>
      <c r="BB41" s="790"/>
      <c r="BC41" s="505"/>
      <c r="BD41" s="504"/>
      <c r="BE41" s="790"/>
      <c r="BF41" s="505"/>
      <c r="BG41" s="504"/>
      <c r="BH41" s="790"/>
      <c r="BI41" s="505"/>
      <c r="BJ41" s="504"/>
      <c r="BK41" s="790"/>
      <c r="BL41" s="505"/>
      <c r="BM41" s="504"/>
      <c r="BN41" s="790"/>
      <c r="BO41" s="505"/>
      <c r="BP41" s="504"/>
      <c r="BQ41" s="790"/>
      <c r="BR41" s="505"/>
      <c r="BS41" s="504"/>
      <c r="BT41" s="790"/>
      <c r="BU41" s="505"/>
      <c r="BV41" s="504"/>
      <c r="BW41" s="790"/>
      <c r="BX41" s="505"/>
      <c r="BY41" s="504"/>
      <c r="BZ41" s="790"/>
      <c r="CA41" s="505"/>
      <c r="CB41" s="570"/>
    </row>
    <row r="42" spans="1:80" ht="13.5" thickBot="1" x14ac:dyDescent="0.25">
      <c r="A42" s="791" t="s">
        <v>21</v>
      </c>
      <c r="B42" s="792"/>
      <c r="C42" s="793"/>
      <c r="D42" s="792"/>
      <c r="E42" s="546"/>
      <c r="F42" s="792" t="s">
        <v>25</v>
      </c>
      <c r="G42" s="549"/>
      <c r="H42" s="794">
        <f>SUM(H36,H40)</f>
        <v>0.40189236026240005</v>
      </c>
      <c r="I42" s="795" t="s">
        <v>2</v>
      </c>
      <c r="J42" s="796">
        <f>SUM(J36,J40)</f>
        <v>0.14609045516800001</v>
      </c>
      <c r="K42" s="794">
        <f>SUM(K36,K40)</f>
        <v>0.39948385919504004</v>
      </c>
      <c r="L42" s="795" t="s">
        <v>2</v>
      </c>
      <c r="M42" s="796">
        <f>SUM(M36,M40)</f>
        <v>0.14718678704800001</v>
      </c>
      <c r="N42" s="794">
        <f>SUM(N36,N40)</f>
        <v>0.38746548721409602</v>
      </c>
      <c r="O42" s="795" t="s">
        <v>2</v>
      </c>
      <c r="P42" s="796">
        <f>SUM(P36,P40)</f>
        <v>0.144867059572</v>
      </c>
      <c r="Q42" s="794">
        <f>SUM(Q36,Q40)</f>
        <v>0.38416186306184008</v>
      </c>
      <c r="R42" s="795" t="s">
        <v>2</v>
      </c>
      <c r="S42" s="796">
        <f>SUM(S36,S40)</f>
        <v>0.1436243797</v>
      </c>
      <c r="T42" s="794">
        <f>SUM(T36,T40)</f>
        <v>0.38956698525416</v>
      </c>
      <c r="U42" s="795" t="s">
        <v>2</v>
      </c>
      <c r="V42" s="796">
        <f>SUM(V36,V40)</f>
        <v>0.14188463145999999</v>
      </c>
      <c r="W42" s="794">
        <f>SUM(W36,W40)</f>
        <v>0.40519245970073603</v>
      </c>
      <c r="X42" s="795" t="s">
        <v>2</v>
      </c>
      <c r="Y42" s="796">
        <f>SUM(Y36,Y40)</f>
        <v>0.15028916823999999</v>
      </c>
      <c r="Z42" s="794">
        <f>SUM(Z36,Z40)</f>
        <v>0.45899501485884803</v>
      </c>
      <c r="AA42" s="795" t="s">
        <v>2</v>
      </c>
      <c r="AB42" s="796">
        <f>SUM(AB36,AB40)</f>
        <v>0.15961928644000001</v>
      </c>
      <c r="AC42" s="794">
        <f>SUM(AC36,AC40)</f>
        <v>0.48815424995911993</v>
      </c>
      <c r="AD42" s="795" t="s">
        <v>2</v>
      </c>
      <c r="AE42" s="796">
        <f>SUM(AE36,AE40)</f>
        <v>0.15972915009999999</v>
      </c>
      <c r="AF42" s="794">
        <f>SUM(AF36,AF40)</f>
        <v>0.50799865595969607</v>
      </c>
      <c r="AG42" s="795" t="s">
        <v>2</v>
      </c>
      <c r="AH42" s="796">
        <f>SUM(AH36,AH40)</f>
        <v>0.16086148685200002</v>
      </c>
      <c r="AI42" s="794">
        <f>SUM(AI36,AI40)</f>
        <v>0.532341893790368</v>
      </c>
      <c r="AJ42" s="795" t="s">
        <v>2</v>
      </c>
      <c r="AK42" s="796">
        <f>SUM(AK36,AK40)</f>
        <v>0.15567757424799999</v>
      </c>
      <c r="AL42" s="794">
        <f>SUM(AL36,AL40)</f>
        <v>0.517601494958288</v>
      </c>
      <c r="AM42" s="795" t="s">
        <v>2</v>
      </c>
      <c r="AN42" s="796">
        <f>SUM(AN36,AN40)</f>
        <v>0.15219219341200002</v>
      </c>
      <c r="AO42" s="794">
        <f>SUM(AO36,AO40)</f>
        <v>0.49776903818715201</v>
      </c>
      <c r="AP42" s="795" t="s">
        <v>2</v>
      </c>
      <c r="AQ42" s="796">
        <f>SUM(AQ36,AQ40)</f>
        <v>0.15210574118800002</v>
      </c>
      <c r="AR42" s="794">
        <f>SUM(AR36,AR40)</f>
        <v>0.47882942136104006</v>
      </c>
      <c r="AS42" s="795" t="s">
        <v>2</v>
      </c>
      <c r="AT42" s="796">
        <f>SUM(AT36,AT40)</f>
        <v>0.14383160923600002</v>
      </c>
      <c r="AU42" s="794">
        <f>SUM(AU36,AU40)</f>
        <v>0.46711145084374406</v>
      </c>
      <c r="AV42" s="795" t="s">
        <v>2</v>
      </c>
      <c r="AW42" s="796">
        <f>SUM(AW36,AW40)</f>
        <v>0.14631741316000002</v>
      </c>
      <c r="AX42" s="794">
        <f>SUM(AX36,AX40)</f>
        <v>0.46650880452910404</v>
      </c>
      <c r="AY42" s="795" t="s">
        <v>2</v>
      </c>
      <c r="AZ42" s="796">
        <f>SUM(AZ36,AZ40)</f>
        <v>0.14088572650000003</v>
      </c>
      <c r="BA42" s="794">
        <f>SUM(BA36,BA40)</f>
        <v>0.48303696467734397</v>
      </c>
      <c r="BB42" s="795" t="s">
        <v>2</v>
      </c>
      <c r="BC42" s="796">
        <f>SUM(BC36,BC40)</f>
        <v>0.14392173613600001</v>
      </c>
      <c r="BD42" s="794">
        <f>SUM(BD36,BD40)</f>
        <v>0.51732815953620803</v>
      </c>
      <c r="BE42" s="795" t="s">
        <v>2</v>
      </c>
      <c r="BF42" s="796">
        <f>SUM(BF36,BF40)</f>
        <v>0.16361636246800002</v>
      </c>
      <c r="BG42" s="794">
        <f>SUM(BG36,BG40)</f>
        <v>0.51101542652168008</v>
      </c>
      <c r="BH42" s="795" t="s">
        <v>2</v>
      </c>
      <c r="BI42" s="796">
        <f>SUM(BI36,BI40)</f>
        <v>0.16676382067600001</v>
      </c>
      <c r="BJ42" s="794">
        <f>SUM(BJ36,BJ40)</f>
        <v>0.50169151379758403</v>
      </c>
      <c r="BK42" s="795" t="s">
        <v>2</v>
      </c>
      <c r="BL42" s="796">
        <f>SUM(BL36,BL40)</f>
        <v>0.16587679714000003</v>
      </c>
      <c r="BM42" s="794">
        <f>SUM(BM36,BM40)</f>
        <v>0.50198449972304005</v>
      </c>
      <c r="BN42" s="795" t="s">
        <v>2</v>
      </c>
      <c r="BO42" s="796">
        <f>SUM(BO36,BO40)</f>
        <v>0.16909094826400001</v>
      </c>
      <c r="BP42" s="794">
        <f>SUM(BP36,BP40)</f>
        <v>0.49807433681806396</v>
      </c>
      <c r="BQ42" s="795" t="s">
        <v>2</v>
      </c>
      <c r="BR42" s="796">
        <f>SUM(BR36,BR40)</f>
        <v>0.163569348724</v>
      </c>
      <c r="BS42" s="794">
        <f>SUM(BS36,BS40)</f>
        <v>0.49266614760070399</v>
      </c>
      <c r="BT42" s="795" t="s">
        <v>2</v>
      </c>
      <c r="BU42" s="796">
        <f>SUM(BU36,BU40)</f>
        <v>0.167671594432</v>
      </c>
      <c r="BV42" s="794">
        <f>SUM(BV36,BV40)</f>
        <v>0.48664480974593605</v>
      </c>
      <c r="BW42" s="795" t="s">
        <v>2</v>
      </c>
      <c r="BX42" s="796">
        <f>SUM(BX36,BX40)</f>
        <v>0.161414403988</v>
      </c>
      <c r="BY42" s="794">
        <f>SUM(BY36,BY40)</f>
        <v>0.4493789831744</v>
      </c>
      <c r="BZ42" s="795" t="s">
        <v>2</v>
      </c>
      <c r="CA42" s="796">
        <f>SUM(CA36,CA40)</f>
        <v>0.16272754719999999</v>
      </c>
    </row>
    <row r="44" spans="1:80" ht="13.5" customHeight="1" x14ac:dyDescent="0.2">
      <c r="CA44" s="517"/>
    </row>
    <row r="45" spans="1:80" ht="13.5" customHeight="1" x14ac:dyDescent="0.2">
      <c r="I45" s="517"/>
      <c r="J45" s="517"/>
      <c r="L45" s="517"/>
      <c r="M45" s="517"/>
      <c r="O45" s="517"/>
      <c r="P45" s="517"/>
      <c r="R45" s="517"/>
      <c r="S45" s="517"/>
      <c r="U45" s="517"/>
      <c r="V45" s="517"/>
      <c r="X45" s="517"/>
      <c r="Y45" s="517"/>
      <c r="AA45" s="517"/>
      <c r="AB45" s="517"/>
      <c r="AD45" s="517"/>
      <c r="AE45" s="517"/>
      <c r="AG45" s="517"/>
      <c r="AH45" s="517"/>
      <c r="AJ45" s="517"/>
      <c r="AK45" s="517"/>
      <c r="AM45" s="517"/>
      <c r="AN45" s="517"/>
      <c r="AP45" s="517"/>
      <c r="AQ45" s="517"/>
      <c r="AS45" s="517"/>
      <c r="AT45" s="517"/>
      <c r="AV45" s="517"/>
      <c r="AW45" s="517"/>
      <c r="AY45" s="517"/>
      <c r="AZ45" s="517"/>
      <c r="BB45" s="517"/>
      <c r="BC45" s="517"/>
      <c r="BE45" s="517"/>
      <c r="BF45" s="517"/>
      <c r="BH45" s="517"/>
      <c r="BI45" s="517"/>
      <c r="BK45" s="517"/>
      <c r="BL45" s="517"/>
      <c r="BN45" s="517"/>
      <c r="BO45" s="517"/>
      <c r="BQ45" s="517"/>
      <c r="BR45" s="517"/>
      <c r="BT45" s="517"/>
      <c r="BU45" s="517"/>
      <c r="BW45" s="517"/>
      <c r="BX45" s="517"/>
      <c r="BZ45" s="517"/>
      <c r="CA45" s="517"/>
    </row>
    <row r="46" spans="1:80" x14ac:dyDescent="0.2">
      <c r="I46" s="517"/>
      <c r="J46" s="517"/>
      <c r="L46" s="517"/>
      <c r="M46" s="517"/>
      <c r="O46" s="517"/>
      <c r="P46" s="517"/>
      <c r="R46" s="517"/>
      <c r="S46" s="517"/>
      <c r="U46" s="517"/>
      <c r="V46" s="517"/>
      <c r="X46" s="517"/>
      <c r="Y46" s="517"/>
      <c r="AA46" s="517"/>
      <c r="AB46" s="517"/>
      <c r="AD46" s="517"/>
      <c r="AE46" s="517"/>
      <c r="AG46" s="517"/>
      <c r="AH46" s="517"/>
      <c r="AJ46" s="517"/>
      <c r="AK46" s="517"/>
      <c r="AM46" s="517"/>
      <c r="AN46" s="517"/>
      <c r="AP46" s="517"/>
      <c r="AQ46" s="517"/>
      <c r="AS46" s="517"/>
      <c r="AT46" s="517"/>
      <c r="AV46" s="517"/>
      <c r="AW46" s="517"/>
      <c r="AY46" s="517"/>
      <c r="AZ46" s="517"/>
      <c r="BB46" s="517"/>
      <c r="BC46" s="517"/>
      <c r="BE46" s="517"/>
      <c r="BF46" s="517"/>
      <c r="BH46" s="517"/>
      <c r="BI46" s="517"/>
      <c r="BK46" s="517"/>
      <c r="BL46" s="517"/>
      <c r="BN46" s="517"/>
      <c r="BO46" s="517"/>
      <c r="BQ46" s="517"/>
      <c r="BR46" s="517"/>
      <c r="BT46" s="517"/>
      <c r="BU46" s="517"/>
      <c r="BW46" s="517"/>
      <c r="BX46" s="517"/>
      <c r="BZ46" s="517"/>
      <c r="CA46" s="517"/>
    </row>
    <row r="47" spans="1:80" x14ac:dyDescent="0.2">
      <c r="I47" s="517"/>
      <c r="J47" s="517"/>
      <c r="L47" s="517"/>
      <c r="M47" s="517"/>
      <c r="O47" s="517"/>
      <c r="P47" s="517"/>
      <c r="R47" s="517"/>
      <c r="S47" s="517"/>
      <c r="U47" s="517"/>
      <c r="V47" s="517"/>
      <c r="X47" s="517"/>
      <c r="Y47" s="517"/>
      <c r="AA47" s="517"/>
      <c r="AB47" s="517"/>
      <c r="AD47" s="517"/>
      <c r="AE47" s="517"/>
      <c r="AG47" s="517"/>
      <c r="AH47" s="517"/>
      <c r="AJ47" s="517"/>
      <c r="AK47" s="517"/>
      <c r="AM47" s="517"/>
      <c r="AN47" s="517"/>
      <c r="AP47" s="517"/>
      <c r="AQ47" s="517"/>
      <c r="AS47" s="517"/>
      <c r="AT47" s="517"/>
      <c r="AV47" s="517"/>
      <c r="AW47" s="517"/>
      <c r="AY47" s="517"/>
      <c r="AZ47" s="517"/>
      <c r="BB47" s="517"/>
      <c r="BC47" s="517"/>
      <c r="BE47" s="517"/>
      <c r="BF47" s="517"/>
      <c r="BH47" s="517"/>
      <c r="BI47" s="517"/>
      <c r="BK47" s="517"/>
      <c r="BL47" s="517"/>
      <c r="BN47" s="517"/>
      <c r="BO47" s="517"/>
      <c r="BQ47" s="517"/>
      <c r="BR47" s="517"/>
      <c r="BT47" s="517"/>
      <c r="BU47" s="517"/>
      <c r="BW47" s="517"/>
      <c r="BX47" s="517"/>
      <c r="BZ47" s="517"/>
      <c r="CA47" s="517"/>
    </row>
    <row r="48" spans="1:80" x14ac:dyDescent="0.2">
      <c r="I48" s="517"/>
      <c r="L48" s="517"/>
      <c r="O48" s="517"/>
    </row>
    <row r="49" spans="8:80" ht="13.5" customHeight="1" x14ac:dyDescent="0.2">
      <c r="I49" s="797"/>
    </row>
    <row r="50" spans="8:80" ht="13.5" customHeight="1" x14ac:dyDescent="0.2">
      <c r="I50" s="797"/>
      <c r="BY50" s="570"/>
    </row>
    <row r="51" spans="8:80" ht="13.5" customHeight="1" x14ac:dyDescent="0.2">
      <c r="I51" s="517"/>
      <c r="L51" s="517"/>
      <c r="O51" s="517"/>
      <c r="R51" s="570"/>
      <c r="U51" s="570"/>
      <c r="X51" s="570"/>
      <c r="AA51" s="570"/>
      <c r="AD51" s="570"/>
      <c r="AG51" s="570"/>
      <c r="AJ51" s="570"/>
      <c r="AM51" s="570"/>
      <c r="AP51" s="570"/>
      <c r="AS51" s="570"/>
      <c r="AV51" s="570"/>
      <c r="AY51" s="570"/>
      <c r="BB51" s="570"/>
      <c r="BE51" s="570"/>
      <c r="BH51" s="570"/>
      <c r="BK51" s="570"/>
      <c r="BN51" s="570"/>
      <c r="BQ51" s="570"/>
      <c r="BT51" s="570"/>
      <c r="BW51" s="570"/>
      <c r="BZ51" s="570"/>
    </row>
    <row r="52" spans="8:80" ht="13.5" customHeight="1" x14ac:dyDescent="0.2">
      <c r="I52" s="517"/>
      <c r="L52" s="517"/>
      <c r="O52" s="517"/>
      <c r="R52" s="570"/>
      <c r="U52" s="570"/>
      <c r="X52" s="570"/>
      <c r="AA52" s="570"/>
      <c r="AD52" s="570"/>
      <c r="AG52" s="570"/>
      <c r="AJ52" s="570"/>
      <c r="AM52" s="570"/>
      <c r="AP52" s="570"/>
      <c r="AS52" s="570"/>
      <c r="AV52" s="570"/>
      <c r="AY52" s="570"/>
      <c r="BB52" s="570"/>
      <c r="BE52" s="570"/>
      <c r="BH52" s="570"/>
      <c r="BK52" s="570"/>
      <c r="BN52" s="570"/>
      <c r="BQ52" s="570"/>
      <c r="BT52" s="570"/>
      <c r="BW52" s="570"/>
      <c r="BZ52" s="570"/>
    </row>
    <row r="53" spans="8:80" x14ac:dyDescent="0.2">
      <c r="I53" s="517"/>
      <c r="L53" s="517"/>
      <c r="O53" s="517"/>
      <c r="R53" s="570"/>
      <c r="U53" s="570"/>
      <c r="X53" s="570"/>
      <c r="AA53" s="570"/>
      <c r="AD53" s="570"/>
      <c r="AG53" s="570"/>
      <c r="AJ53" s="570"/>
      <c r="AM53" s="570"/>
      <c r="AP53" s="570"/>
      <c r="AS53" s="570"/>
      <c r="AV53" s="570"/>
      <c r="AY53" s="570"/>
      <c r="BB53" s="570"/>
      <c r="BE53" s="570"/>
      <c r="BH53" s="570"/>
      <c r="BK53" s="570"/>
      <c r="BN53" s="570"/>
      <c r="BQ53" s="570"/>
      <c r="BT53" s="570"/>
      <c r="BW53" s="570"/>
      <c r="BY53" s="517"/>
      <c r="BZ53" s="570"/>
      <c r="CA53" s="517"/>
      <c r="CB53" s="517"/>
    </row>
    <row r="54" spans="8:80" x14ac:dyDescent="0.2">
      <c r="I54" s="517"/>
      <c r="L54" s="517"/>
      <c r="O54" s="517"/>
      <c r="BY54" s="517"/>
      <c r="CA54" s="517"/>
      <c r="CB54" s="517"/>
    </row>
    <row r="55" spans="8:80" x14ac:dyDescent="0.2">
      <c r="I55" s="517"/>
      <c r="L55" s="517"/>
      <c r="O55" s="517"/>
      <c r="BY55" s="570"/>
      <c r="CA55" s="570"/>
      <c r="CB55" s="570"/>
    </row>
    <row r="56" spans="8:80" x14ac:dyDescent="0.2">
      <c r="I56" s="517"/>
      <c r="L56" s="517"/>
      <c r="O56" s="517"/>
      <c r="BY56" s="570"/>
      <c r="CA56" s="570"/>
      <c r="CB56" s="570"/>
    </row>
    <row r="57" spans="8:80" x14ac:dyDescent="0.2">
      <c r="AF57" s="570"/>
      <c r="AG57" s="570"/>
      <c r="AH57" s="570"/>
      <c r="AI57" s="570"/>
      <c r="AJ57" s="570"/>
      <c r="AK57" s="570"/>
      <c r="AL57" s="570"/>
      <c r="AM57" s="570"/>
      <c r="AN57" s="570"/>
      <c r="AO57" s="570"/>
      <c r="AP57" s="570"/>
      <c r="AQ57" s="570"/>
      <c r="AR57" s="570"/>
      <c r="AS57" s="570"/>
      <c r="AT57" s="570"/>
      <c r="AU57" s="570"/>
      <c r="AV57" s="570"/>
      <c r="AW57" s="570"/>
      <c r="AX57" s="570"/>
      <c r="AY57" s="570"/>
      <c r="AZ57" s="570"/>
      <c r="BA57" s="570"/>
      <c r="BB57" s="570"/>
      <c r="BC57" s="570"/>
      <c r="BD57" s="570"/>
      <c r="BE57" s="570"/>
      <c r="BF57" s="570"/>
      <c r="BG57" s="570"/>
      <c r="BH57" s="570"/>
      <c r="BK57" s="570"/>
      <c r="BN57" s="570"/>
      <c r="BO57" s="570"/>
      <c r="BP57" s="570"/>
      <c r="BQ57" s="570"/>
      <c r="BT57" s="570"/>
      <c r="BU57" s="570"/>
      <c r="BV57" s="570"/>
      <c r="BW57" s="570"/>
      <c r="BX57" s="570"/>
      <c r="BY57" s="570"/>
      <c r="BZ57" s="570"/>
      <c r="CA57" s="570"/>
      <c r="CB57" s="570"/>
    </row>
    <row r="61" spans="8:80" x14ac:dyDescent="0.2">
      <c r="H61" s="517"/>
      <c r="I61" s="517"/>
      <c r="J61" s="517"/>
    </row>
    <row r="62" spans="8:80" x14ac:dyDescent="0.2">
      <c r="H62" s="517"/>
      <c r="I62" s="517"/>
      <c r="J62" s="517"/>
    </row>
    <row r="63" spans="8:80" x14ac:dyDescent="0.2">
      <c r="H63" s="517"/>
      <c r="I63" s="517"/>
      <c r="J63" s="517"/>
      <c r="N63" s="516">
        <v>0</v>
      </c>
      <c r="O63" s="516">
        <v>0</v>
      </c>
      <c r="P63" s="516">
        <v>0</v>
      </c>
      <c r="Q63" s="516">
        <v>0</v>
      </c>
    </row>
    <row r="64" spans="8:80" x14ac:dyDescent="0.2">
      <c r="H64" s="517"/>
      <c r="I64" s="517"/>
      <c r="J64" s="517"/>
    </row>
    <row r="65" spans="8:10" x14ac:dyDescent="0.2">
      <c r="H65" s="517"/>
      <c r="I65" s="517"/>
      <c r="J65" s="517"/>
    </row>
    <row r="66" spans="8:10" x14ac:dyDescent="0.2">
      <c r="H66" s="517"/>
      <c r="I66" s="517"/>
      <c r="J66" s="517"/>
    </row>
    <row r="67" spans="8:10" x14ac:dyDescent="0.2">
      <c r="H67" s="517"/>
      <c r="I67" s="517"/>
      <c r="J67" s="517"/>
    </row>
    <row r="68" spans="8:10" x14ac:dyDescent="0.2">
      <c r="H68" s="517"/>
      <c r="I68" s="517"/>
      <c r="J68" s="517"/>
    </row>
    <row r="69" spans="8:10" x14ac:dyDescent="0.2">
      <c r="H69" s="517"/>
      <c r="I69" s="517"/>
      <c r="J69" s="517"/>
    </row>
    <row r="70" spans="8:10" x14ac:dyDescent="0.2">
      <c r="H70" s="517"/>
      <c r="I70" s="517"/>
      <c r="J70" s="517"/>
    </row>
    <row r="71" spans="8:10" x14ac:dyDescent="0.2">
      <c r="H71" s="517"/>
      <c r="I71" s="517"/>
      <c r="J71" s="517"/>
    </row>
    <row r="72" spans="8:10" x14ac:dyDescent="0.2">
      <c r="H72" s="517"/>
      <c r="I72" s="517"/>
      <c r="J72" s="517"/>
    </row>
    <row r="73" spans="8:10" x14ac:dyDescent="0.2">
      <c r="H73" s="517"/>
      <c r="I73" s="517"/>
      <c r="J73" s="517"/>
    </row>
    <row r="74" spans="8:10" x14ac:dyDescent="0.2">
      <c r="H74" s="517"/>
      <c r="I74" s="517"/>
      <c r="J74" s="517"/>
    </row>
    <row r="75" spans="8:10" x14ac:dyDescent="0.2">
      <c r="H75" s="517"/>
      <c r="I75" s="517"/>
      <c r="J75" s="517"/>
    </row>
    <row r="76" spans="8:10" x14ac:dyDescent="0.2">
      <c r="H76" s="517"/>
      <c r="I76" s="517"/>
      <c r="J76" s="517"/>
    </row>
    <row r="77" spans="8:10" x14ac:dyDescent="0.2">
      <c r="H77" s="517"/>
      <c r="I77" s="517"/>
      <c r="J77" s="517"/>
    </row>
    <row r="78" spans="8:10" x14ac:dyDescent="0.2">
      <c r="H78" s="517"/>
      <c r="I78" s="517"/>
      <c r="J78" s="517"/>
    </row>
    <row r="79" spans="8:10" x14ac:dyDescent="0.2">
      <c r="H79" s="517"/>
      <c r="I79" s="517"/>
      <c r="J79" s="517"/>
    </row>
    <row r="80" spans="8:10" x14ac:dyDescent="0.2">
      <c r="H80" s="517"/>
      <c r="I80" s="517"/>
      <c r="J80" s="517"/>
    </row>
    <row r="81" spans="8:10" x14ac:dyDescent="0.2">
      <c r="H81" s="517"/>
      <c r="I81" s="517"/>
      <c r="J81" s="517"/>
    </row>
  </sheetData>
  <mergeCells count="72">
    <mergeCell ref="A32:G32"/>
    <mergeCell ref="E35:F35"/>
    <mergeCell ref="B36:G36"/>
    <mergeCell ref="E39:F39"/>
    <mergeCell ref="B40:G40"/>
    <mergeCell ref="A28:C28"/>
    <mergeCell ref="A21:B22"/>
    <mergeCell ref="C21:C22"/>
    <mergeCell ref="D21:E21"/>
    <mergeCell ref="F21:G22"/>
    <mergeCell ref="D22:E22"/>
    <mergeCell ref="A23:C24"/>
    <mergeCell ref="D23:G23"/>
    <mergeCell ref="D24:G24"/>
    <mergeCell ref="E25:F25"/>
    <mergeCell ref="E26:F26"/>
    <mergeCell ref="A27:C27"/>
    <mergeCell ref="D27:E27"/>
    <mergeCell ref="F27:G27"/>
    <mergeCell ref="A19:B20"/>
    <mergeCell ref="C19:C20"/>
    <mergeCell ref="D19:E19"/>
    <mergeCell ref="F19:G20"/>
    <mergeCell ref="D20:E20"/>
    <mergeCell ref="A13:B18"/>
    <mergeCell ref="C13:C18"/>
    <mergeCell ref="D13:E15"/>
    <mergeCell ref="F13:G13"/>
    <mergeCell ref="F14:G14"/>
    <mergeCell ref="F15:G15"/>
    <mergeCell ref="D16:E17"/>
    <mergeCell ref="F16:G16"/>
    <mergeCell ref="F17:G17"/>
    <mergeCell ref="D18:G18"/>
    <mergeCell ref="A5:B6"/>
    <mergeCell ref="C5:C6"/>
    <mergeCell ref="D5:G6"/>
    <mergeCell ref="A7:B12"/>
    <mergeCell ref="C7:C12"/>
    <mergeCell ref="D7:E9"/>
    <mergeCell ref="F7:G7"/>
    <mergeCell ref="F8:G8"/>
    <mergeCell ref="F9:G9"/>
    <mergeCell ref="D10:E11"/>
    <mergeCell ref="F10:G10"/>
    <mergeCell ref="F11:G11"/>
    <mergeCell ref="D12:G12"/>
    <mergeCell ref="BM4:BO4"/>
    <mergeCell ref="BP4:BR4"/>
    <mergeCell ref="BS4:BU4"/>
    <mergeCell ref="BV4:BX4"/>
    <mergeCell ref="BY4:CA4"/>
    <mergeCell ref="AX4:AZ4"/>
    <mergeCell ref="BA4:BC4"/>
    <mergeCell ref="BD4:BF4"/>
    <mergeCell ref="BG4:BI4"/>
    <mergeCell ref="BJ4:BL4"/>
    <mergeCell ref="AI4:AK4"/>
    <mergeCell ref="AL4:AN4"/>
    <mergeCell ref="AO4:AQ4"/>
    <mergeCell ref="AR4:AT4"/>
    <mergeCell ref="AU4:AW4"/>
    <mergeCell ref="T4:V4"/>
    <mergeCell ref="W4:Y4"/>
    <mergeCell ref="Z4:AB4"/>
    <mergeCell ref="AC4:AE4"/>
    <mergeCell ref="AF4:AH4"/>
    <mergeCell ref="A4:G4"/>
    <mergeCell ref="H4:J4"/>
    <mergeCell ref="K4:M4"/>
    <mergeCell ref="N4:P4"/>
    <mergeCell ref="Q4:S4"/>
  </mergeCells>
  <conditionalFormatting sqref="I29">
    <cfRule type="cellIs" dxfId="388" priority="96" stopIfTrue="1" operator="lessThan">
      <formula>0</formula>
    </cfRule>
  </conditionalFormatting>
  <conditionalFormatting sqref="J29">
    <cfRule type="cellIs" dxfId="387" priority="95" stopIfTrue="1" operator="lessThan">
      <formula>0</formula>
    </cfRule>
  </conditionalFormatting>
  <conditionalFormatting sqref="I30:I31">
    <cfRule type="cellIs" dxfId="386" priority="94" stopIfTrue="1" operator="lessThan">
      <formula>0</formula>
    </cfRule>
  </conditionalFormatting>
  <conditionalFormatting sqref="J30:J31">
    <cfRule type="cellIs" dxfId="385" priority="93" stopIfTrue="1" operator="lessThan">
      <formula>0</formula>
    </cfRule>
  </conditionalFormatting>
  <conditionalFormatting sqref="L29">
    <cfRule type="cellIs" dxfId="384" priority="92" stopIfTrue="1" operator="lessThan">
      <formula>0</formula>
    </cfRule>
  </conditionalFormatting>
  <conditionalFormatting sqref="M29">
    <cfRule type="cellIs" dxfId="383" priority="91" stopIfTrue="1" operator="lessThan">
      <formula>0</formula>
    </cfRule>
  </conditionalFormatting>
  <conditionalFormatting sqref="L30:L31">
    <cfRule type="cellIs" dxfId="382" priority="90" stopIfTrue="1" operator="lessThan">
      <formula>0</formula>
    </cfRule>
  </conditionalFormatting>
  <conditionalFormatting sqref="M30:M31">
    <cfRule type="cellIs" dxfId="381" priority="89" stopIfTrue="1" operator="lessThan">
      <formula>0</formula>
    </cfRule>
  </conditionalFormatting>
  <conditionalFormatting sqref="O29">
    <cfRule type="cellIs" dxfId="380" priority="88" stopIfTrue="1" operator="lessThan">
      <formula>0</formula>
    </cfRule>
  </conditionalFormatting>
  <conditionalFormatting sqref="P29">
    <cfRule type="cellIs" dxfId="379" priority="87" stopIfTrue="1" operator="lessThan">
      <formula>0</formula>
    </cfRule>
  </conditionalFormatting>
  <conditionalFormatting sqref="O30:O31">
    <cfRule type="cellIs" dxfId="378" priority="86" stopIfTrue="1" operator="lessThan">
      <formula>0</formula>
    </cfRule>
  </conditionalFormatting>
  <conditionalFormatting sqref="P30:P31">
    <cfRule type="cellIs" dxfId="377" priority="85" stopIfTrue="1" operator="lessThan">
      <formula>0</formula>
    </cfRule>
  </conditionalFormatting>
  <conditionalFormatting sqref="R29">
    <cfRule type="cellIs" dxfId="376" priority="84" stopIfTrue="1" operator="lessThan">
      <formula>0</formula>
    </cfRule>
  </conditionalFormatting>
  <conditionalFormatting sqref="S29">
    <cfRule type="cellIs" dxfId="375" priority="83" stopIfTrue="1" operator="lessThan">
      <formula>0</formula>
    </cfRule>
  </conditionalFormatting>
  <conditionalFormatting sqref="R30:R31">
    <cfRule type="cellIs" dxfId="374" priority="82" stopIfTrue="1" operator="lessThan">
      <formula>0</formula>
    </cfRule>
  </conditionalFormatting>
  <conditionalFormatting sqref="S30:S31">
    <cfRule type="cellIs" dxfId="373" priority="81" stopIfTrue="1" operator="lessThan">
      <formula>0</formula>
    </cfRule>
  </conditionalFormatting>
  <conditionalFormatting sqref="U29">
    <cfRule type="cellIs" dxfId="372" priority="80" stopIfTrue="1" operator="lessThan">
      <formula>0</formula>
    </cfRule>
  </conditionalFormatting>
  <conditionalFormatting sqref="V29">
    <cfRule type="cellIs" dxfId="371" priority="79" stopIfTrue="1" operator="lessThan">
      <formula>0</formula>
    </cfRule>
  </conditionalFormatting>
  <conditionalFormatting sqref="U30:U31">
    <cfRule type="cellIs" dxfId="370" priority="78" stopIfTrue="1" operator="lessThan">
      <formula>0</formula>
    </cfRule>
  </conditionalFormatting>
  <conditionalFormatting sqref="V30:V31">
    <cfRule type="cellIs" dxfId="369" priority="77" stopIfTrue="1" operator="lessThan">
      <formula>0</formula>
    </cfRule>
  </conditionalFormatting>
  <conditionalFormatting sqref="X29">
    <cfRule type="cellIs" dxfId="368" priority="76" stopIfTrue="1" operator="lessThan">
      <formula>0</formula>
    </cfRule>
  </conditionalFormatting>
  <conditionalFormatting sqref="Y29">
    <cfRule type="cellIs" dxfId="367" priority="75" stopIfTrue="1" operator="lessThan">
      <formula>0</formula>
    </cfRule>
  </conditionalFormatting>
  <conditionalFormatting sqref="X30:X31">
    <cfRule type="cellIs" dxfId="366" priority="74" stopIfTrue="1" operator="lessThan">
      <formula>0</formula>
    </cfRule>
  </conditionalFormatting>
  <conditionalFormatting sqref="Y30:Y31">
    <cfRule type="cellIs" dxfId="365" priority="73" stopIfTrue="1" operator="lessThan">
      <formula>0</formula>
    </cfRule>
  </conditionalFormatting>
  <conditionalFormatting sqref="AA29">
    <cfRule type="cellIs" dxfId="364" priority="72" stopIfTrue="1" operator="lessThan">
      <formula>0</formula>
    </cfRule>
  </conditionalFormatting>
  <conditionalFormatting sqref="AB29">
    <cfRule type="cellIs" dxfId="363" priority="71" stopIfTrue="1" operator="lessThan">
      <formula>0</formula>
    </cfRule>
  </conditionalFormatting>
  <conditionalFormatting sqref="AA30:AA31">
    <cfRule type="cellIs" dxfId="362" priority="70" stopIfTrue="1" operator="lessThan">
      <formula>0</formula>
    </cfRule>
  </conditionalFormatting>
  <conditionalFormatting sqref="AB30:AB31">
    <cfRule type="cellIs" dxfId="361" priority="69" stopIfTrue="1" operator="lessThan">
      <formula>0</formula>
    </cfRule>
  </conditionalFormatting>
  <conditionalFormatting sqref="AD29">
    <cfRule type="cellIs" dxfId="360" priority="68" stopIfTrue="1" operator="lessThan">
      <formula>0</formula>
    </cfRule>
  </conditionalFormatting>
  <conditionalFormatting sqref="AE29">
    <cfRule type="cellIs" dxfId="359" priority="67" stopIfTrue="1" operator="lessThan">
      <formula>0</formula>
    </cfRule>
  </conditionalFormatting>
  <conditionalFormatting sqref="AD30:AD31">
    <cfRule type="cellIs" dxfId="358" priority="66" stopIfTrue="1" operator="lessThan">
      <formula>0</formula>
    </cfRule>
  </conditionalFormatting>
  <conditionalFormatting sqref="AE30:AE31">
    <cfRule type="cellIs" dxfId="357" priority="65" stopIfTrue="1" operator="lessThan">
      <formula>0</formula>
    </cfRule>
  </conditionalFormatting>
  <conditionalFormatting sqref="AG29">
    <cfRule type="cellIs" dxfId="356" priority="64" stopIfTrue="1" operator="lessThan">
      <formula>0</formula>
    </cfRule>
  </conditionalFormatting>
  <conditionalFormatting sqref="AH29">
    <cfRule type="cellIs" dxfId="355" priority="63" stopIfTrue="1" operator="lessThan">
      <formula>0</formula>
    </cfRule>
  </conditionalFormatting>
  <conditionalFormatting sqref="AG30:AG31">
    <cfRule type="cellIs" dxfId="354" priority="62" stopIfTrue="1" operator="lessThan">
      <formula>0</formula>
    </cfRule>
  </conditionalFormatting>
  <conditionalFormatting sqref="AH30:AH31">
    <cfRule type="cellIs" dxfId="353" priority="61" stopIfTrue="1" operator="lessThan">
      <formula>0</formula>
    </cfRule>
  </conditionalFormatting>
  <conditionalFormatting sqref="AJ29">
    <cfRule type="cellIs" dxfId="352" priority="60" stopIfTrue="1" operator="lessThan">
      <formula>0</formula>
    </cfRule>
  </conditionalFormatting>
  <conditionalFormatting sqref="AK29">
    <cfRule type="cellIs" dxfId="351" priority="59" stopIfTrue="1" operator="lessThan">
      <formula>0</formula>
    </cfRule>
  </conditionalFormatting>
  <conditionalFormatting sqref="AJ30:AJ31">
    <cfRule type="cellIs" dxfId="350" priority="58" stopIfTrue="1" operator="lessThan">
      <formula>0</formula>
    </cfRule>
  </conditionalFormatting>
  <conditionalFormatting sqref="AK30:AK31">
    <cfRule type="cellIs" dxfId="349" priority="57" stopIfTrue="1" operator="lessThan">
      <formula>0</formula>
    </cfRule>
  </conditionalFormatting>
  <conditionalFormatting sqref="AM29">
    <cfRule type="cellIs" dxfId="348" priority="56" stopIfTrue="1" operator="lessThan">
      <formula>0</formula>
    </cfRule>
  </conditionalFormatting>
  <conditionalFormatting sqref="AN29">
    <cfRule type="cellIs" dxfId="347" priority="55" stopIfTrue="1" operator="lessThan">
      <formula>0</formula>
    </cfRule>
  </conditionalFormatting>
  <conditionalFormatting sqref="AM30:AM31">
    <cfRule type="cellIs" dxfId="346" priority="54" stopIfTrue="1" operator="lessThan">
      <formula>0</formula>
    </cfRule>
  </conditionalFormatting>
  <conditionalFormatting sqref="AN30:AN31">
    <cfRule type="cellIs" dxfId="345" priority="53" stopIfTrue="1" operator="lessThan">
      <formula>0</formula>
    </cfRule>
  </conditionalFormatting>
  <conditionalFormatting sqref="AP29">
    <cfRule type="cellIs" dxfId="344" priority="52" stopIfTrue="1" operator="lessThan">
      <formula>0</formula>
    </cfRule>
  </conditionalFormatting>
  <conditionalFormatting sqref="AQ29">
    <cfRule type="cellIs" dxfId="343" priority="51" stopIfTrue="1" operator="lessThan">
      <formula>0</formula>
    </cfRule>
  </conditionalFormatting>
  <conditionalFormatting sqref="AP30:AP31">
    <cfRule type="cellIs" dxfId="342" priority="50" stopIfTrue="1" operator="lessThan">
      <formula>0</formula>
    </cfRule>
  </conditionalFormatting>
  <conditionalFormatting sqref="AQ30:AQ31">
    <cfRule type="cellIs" dxfId="341" priority="49" stopIfTrue="1" operator="lessThan">
      <formula>0</formula>
    </cfRule>
  </conditionalFormatting>
  <conditionalFormatting sqref="AS29">
    <cfRule type="cellIs" dxfId="340" priority="48" stopIfTrue="1" operator="lessThan">
      <formula>0</formula>
    </cfRule>
  </conditionalFormatting>
  <conditionalFormatting sqref="AT29">
    <cfRule type="cellIs" dxfId="339" priority="47" stopIfTrue="1" operator="lessThan">
      <formula>0</formula>
    </cfRule>
  </conditionalFormatting>
  <conditionalFormatting sqref="AS30:AS31">
    <cfRule type="cellIs" dxfId="338" priority="46" stopIfTrue="1" operator="lessThan">
      <formula>0</formula>
    </cfRule>
  </conditionalFormatting>
  <conditionalFormatting sqref="AT30:AT31">
    <cfRule type="cellIs" dxfId="337" priority="45" stopIfTrue="1" operator="lessThan">
      <formula>0</formula>
    </cfRule>
  </conditionalFormatting>
  <conditionalFormatting sqref="AV29">
    <cfRule type="cellIs" dxfId="336" priority="44" stopIfTrue="1" operator="lessThan">
      <formula>0</formula>
    </cfRule>
  </conditionalFormatting>
  <conditionalFormatting sqref="AW29">
    <cfRule type="cellIs" dxfId="335" priority="43" stopIfTrue="1" operator="lessThan">
      <formula>0</formula>
    </cfRule>
  </conditionalFormatting>
  <conditionalFormatting sqref="AV30:AV31">
    <cfRule type="cellIs" dxfId="334" priority="42" stopIfTrue="1" operator="lessThan">
      <formula>0</formula>
    </cfRule>
  </conditionalFormatting>
  <conditionalFormatting sqref="AW30:AW31">
    <cfRule type="cellIs" dxfId="333" priority="41" stopIfTrue="1" operator="lessThan">
      <formula>0</formula>
    </cfRule>
  </conditionalFormatting>
  <conditionalFormatting sqref="AY29">
    <cfRule type="cellIs" dxfId="332" priority="40" stopIfTrue="1" operator="lessThan">
      <formula>0</formula>
    </cfRule>
  </conditionalFormatting>
  <conditionalFormatting sqref="AZ29">
    <cfRule type="cellIs" dxfId="331" priority="39" stopIfTrue="1" operator="lessThan">
      <formula>0</formula>
    </cfRule>
  </conditionalFormatting>
  <conditionalFormatting sqref="AY30:AY31">
    <cfRule type="cellIs" dxfId="330" priority="38" stopIfTrue="1" operator="lessThan">
      <formula>0</formula>
    </cfRule>
  </conditionalFormatting>
  <conditionalFormatting sqref="AZ30:AZ31">
    <cfRule type="cellIs" dxfId="329" priority="37" stopIfTrue="1" operator="lessThan">
      <formula>0</formula>
    </cfRule>
  </conditionalFormatting>
  <conditionalFormatting sqref="BB29">
    <cfRule type="cellIs" dxfId="328" priority="36" stopIfTrue="1" operator="lessThan">
      <formula>0</formula>
    </cfRule>
  </conditionalFormatting>
  <conditionalFormatting sqref="BC29">
    <cfRule type="cellIs" dxfId="327" priority="35" stopIfTrue="1" operator="lessThan">
      <formula>0</formula>
    </cfRule>
  </conditionalFormatting>
  <conditionalFormatting sqref="BB30:BB31">
    <cfRule type="cellIs" dxfId="326" priority="34" stopIfTrue="1" operator="lessThan">
      <formula>0</formula>
    </cfRule>
  </conditionalFormatting>
  <conditionalFormatting sqref="BC30:BC31">
    <cfRule type="cellIs" dxfId="325" priority="33" stopIfTrue="1" operator="lessThan">
      <formula>0</formula>
    </cfRule>
  </conditionalFormatting>
  <conditionalFormatting sqref="BE29">
    <cfRule type="cellIs" dxfId="324" priority="32" stopIfTrue="1" operator="lessThan">
      <formula>0</formula>
    </cfRule>
  </conditionalFormatting>
  <conditionalFormatting sqref="BF29">
    <cfRule type="cellIs" dxfId="323" priority="31" stopIfTrue="1" operator="lessThan">
      <formula>0</formula>
    </cfRule>
  </conditionalFormatting>
  <conditionalFormatting sqref="BE30:BE31">
    <cfRule type="cellIs" dxfId="322" priority="30" stopIfTrue="1" operator="lessThan">
      <formula>0</formula>
    </cfRule>
  </conditionalFormatting>
  <conditionalFormatting sqref="BF30:BF31">
    <cfRule type="cellIs" dxfId="321" priority="29" stopIfTrue="1" operator="lessThan">
      <formula>0</formula>
    </cfRule>
  </conditionalFormatting>
  <conditionalFormatting sqref="BH29">
    <cfRule type="cellIs" dxfId="320" priority="28" stopIfTrue="1" operator="lessThan">
      <formula>0</formula>
    </cfRule>
  </conditionalFormatting>
  <conditionalFormatting sqref="BI29">
    <cfRule type="cellIs" dxfId="319" priority="27" stopIfTrue="1" operator="lessThan">
      <formula>0</formula>
    </cfRule>
  </conditionalFormatting>
  <conditionalFormatting sqref="BH30:BH31">
    <cfRule type="cellIs" dxfId="318" priority="26" stopIfTrue="1" operator="lessThan">
      <formula>0</formula>
    </cfRule>
  </conditionalFormatting>
  <conditionalFormatting sqref="BI30:BI31">
    <cfRule type="cellIs" dxfId="317" priority="25" stopIfTrue="1" operator="lessThan">
      <formula>0</formula>
    </cfRule>
  </conditionalFormatting>
  <conditionalFormatting sqref="BK29">
    <cfRule type="cellIs" dxfId="316" priority="24" stopIfTrue="1" operator="lessThan">
      <formula>0</formula>
    </cfRule>
  </conditionalFormatting>
  <conditionalFormatting sqref="BL29">
    <cfRule type="cellIs" dxfId="315" priority="23" stopIfTrue="1" operator="lessThan">
      <formula>0</formula>
    </cfRule>
  </conditionalFormatting>
  <conditionalFormatting sqref="BK30:BK31">
    <cfRule type="cellIs" dxfId="314" priority="22" stopIfTrue="1" operator="lessThan">
      <formula>0</formula>
    </cfRule>
  </conditionalFormatting>
  <conditionalFormatting sqref="BL30:BL31">
    <cfRule type="cellIs" dxfId="313" priority="21" stopIfTrue="1" operator="lessThan">
      <formula>0</formula>
    </cfRule>
  </conditionalFormatting>
  <conditionalFormatting sqref="BN29">
    <cfRule type="cellIs" dxfId="312" priority="20" stopIfTrue="1" operator="lessThan">
      <formula>0</formula>
    </cfRule>
  </conditionalFormatting>
  <conditionalFormatting sqref="BO29">
    <cfRule type="cellIs" dxfId="311" priority="19" stopIfTrue="1" operator="lessThan">
      <formula>0</formula>
    </cfRule>
  </conditionalFormatting>
  <conditionalFormatting sqref="BN30:BN31">
    <cfRule type="cellIs" dxfId="310" priority="18" stopIfTrue="1" operator="lessThan">
      <formula>0</formula>
    </cfRule>
  </conditionalFormatting>
  <conditionalFormatting sqref="BO30:BO31">
    <cfRule type="cellIs" dxfId="309" priority="17" stopIfTrue="1" operator="lessThan">
      <formula>0</formula>
    </cfRule>
  </conditionalFormatting>
  <conditionalFormatting sqref="BQ29">
    <cfRule type="cellIs" dxfId="308" priority="16" stopIfTrue="1" operator="lessThan">
      <formula>0</formula>
    </cfRule>
  </conditionalFormatting>
  <conditionalFormatting sqref="BR29">
    <cfRule type="cellIs" dxfId="307" priority="15" stopIfTrue="1" operator="lessThan">
      <formula>0</formula>
    </cfRule>
  </conditionalFormatting>
  <conditionalFormatting sqref="BQ30:BQ31">
    <cfRule type="cellIs" dxfId="306" priority="14" stopIfTrue="1" operator="lessThan">
      <formula>0</formula>
    </cfRule>
  </conditionalFormatting>
  <conditionalFormatting sqref="BR30:BR31">
    <cfRule type="cellIs" dxfId="305" priority="13" stopIfTrue="1" operator="lessThan">
      <formula>0</formula>
    </cfRule>
  </conditionalFormatting>
  <conditionalFormatting sqref="BT29">
    <cfRule type="cellIs" dxfId="304" priority="12" stopIfTrue="1" operator="lessThan">
      <formula>0</formula>
    </cfRule>
  </conditionalFormatting>
  <conditionalFormatting sqref="BU29">
    <cfRule type="cellIs" dxfId="303" priority="11" stopIfTrue="1" operator="lessThan">
      <formula>0</formula>
    </cfRule>
  </conditionalFormatting>
  <conditionalFormatting sqref="BT30:BT31">
    <cfRule type="cellIs" dxfId="302" priority="10" stopIfTrue="1" operator="lessThan">
      <formula>0</formula>
    </cfRule>
  </conditionalFormatting>
  <conditionalFormatting sqref="BU30:BU31">
    <cfRule type="cellIs" dxfId="301" priority="9" stopIfTrue="1" operator="lessThan">
      <formula>0</formula>
    </cfRule>
  </conditionalFormatting>
  <conditionalFormatting sqref="BW29">
    <cfRule type="cellIs" dxfId="300" priority="8" stopIfTrue="1" operator="lessThan">
      <formula>0</formula>
    </cfRule>
  </conditionalFormatting>
  <conditionalFormatting sqref="BX29">
    <cfRule type="cellIs" dxfId="299" priority="7" stopIfTrue="1" operator="lessThan">
      <formula>0</formula>
    </cfRule>
  </conditionalFormatting>
  <conditionalFormatting sqref="BW30:BW31">
    <cfRule type="cellIs" dxfId="298" priority="6" stopIfTrue="1" operator="lessThan">
      <formula>0</formula>
    </cfRule>
  </conditionalFormatting>
  <conditionalFormatting sqref="BX30:BX31">
    <cfRule type="cellIs" dxfId="297" priority="5" stopIfTrue="1" operator="lessThan">
      <formula>0</formula>
    </cfRule>
  </conditionalFormatting>
  <conditionalFormatting sqref="BZ29">
    <cfRule type="cellIs" dxfId="296" priority="4" stopIfTrue="1" operator="lessThan">
      <formula>0</formula>
    </cfRule>
  </conditionalFormatting>
  <conditionalFormatting sqref="CA29">
    <cfRule type="cellIs" dxfId="295" priority="3" stopIfTrue="1" operator="lessThan">
      <formula>0</formula>
    </cfRule>
  </conditionalFormatting>
  <conditionalFormatting sqref="BZ30:BZ31">
    <cfRule type="cellIs" dxfId="294" priority="2" stopIfTrue="1" operator="lessThan">
      <formula>0</formula>
    </cfRule>
  </conditionalFormatting>
  <conditionalFormatting sqref="CA30:CA31">
    <cfRule type="cellIs" dxfId="293" priority="1" stopIfTrue="1" operator="lessThan">
      <formula>0</formula>
    </cfRule>
  </conditionalFormatting>
  <pageMargins left="0.31496062992125984" right="0.31496062992125984" top="0.35433070866141736" bottom="0.15748031496062992" header="0.31496062992125984" footer="0.31496062992125984"/>
  <pageSetup paperSize="8" fitToWidth="0" orientation="landscape" r:id="rId1"/>
  <headerFooter scaleWithDoc="0" alignWithMargins="0"/>
  <colBreaks count="3" manualBreakCount="3">
    <brk id="25" max="40" man="1"/>
    <brk id="43" max="40" man="1"/>
    <brk id="61" max="40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74"/>
  <sheetViews>
    <sheetView showZeros="0" view="pageBreakPreview" zoomScaleNormal="100" zoomScaleSheetLayoutView="100" workbookViewId="0">
      <selection activeCell="T40" sqref="T40:V41"/>
    </sheetView>
  </sheetViews>
  <sheetFormatPr defaultRowHeight="12.75" x14ac:dyDescent="0.2"/>
  <cols>
    <col min="1" max="1" width="5.28515625" style="381" customWidth="1"/>
    <col min="2" max="2" width="15.42578125" style="381" customWidth="1"/>
    <col min="3" max="3" width="6.85546875" style="381" customWidth="1"/>
    <col min="4" max="4" width="6" style="381" customWidth="1"/>
    <col min="5" max="5" width="3" style="381" customWidth="1"/>
    <col min="6" max="6" width="7.28515625" style="381" customWidth="1"/>
    <col min="7" max="7" width="3.85546875" style="381" customWidth="1"/>
    <col min="8" max="79" width="9" style="381" customWidth="1"/>
    <col min="80" max="80" width="11" style="381" bestFit="1" customWidth="1"/>
    <col min="81" max="16384" width="9.140625" style="381"/>
  </cols>
  <sheetData>
    <row r="1" spans="1:83" s="382" customFormat="1" ht="27.75" customHeight="1" x14ac:dyDescent="0.4">
      <c r="A1" s="495" t="s">
        <v>214</v>
      </c>
    </row>
    <row r="2" spans="1:83" s="382" customFormat="1" ht="27.75" customHeight="1" x14ac:dyDescent="0.4">
      <c r="A2" s="496" t="s">
        <v>155</v>
      </c>
      <c r="C2" s="474"/>
      <c r="D2" s="474"/>
      <c r="E2" s="474"/>
    </row>
    <row r="3" spans="1:83" ht="13.5" thickBot="1" x14ac:dyDescent="0.25">
      <c r="B3" s="473"/>
      <c r="C3" s="473"/>
      <c r="D3" s="473"/>
      <c r="E3" s="473"/>
      <c r="F3" s="473"/>
      <c r="G3" s="473"/>
      <c r="H3" s="473"/>
      <c r="I3" s="798"/>
      <c r="J3" s="473"/>
      <c r="K3" s="473"/>
      <c r="L3" s="798"/>
      <c r="M3" s="473"/>
      <c r="N3" s="473"/>
      <c r="O3" s="798"/>
      <c r="P3" s="473"/>
      <c r="Q3" s="473"/>
      <c r="R3" s="798"/>
      <c r="S3" s="473"/>
      <c r="T3" s="473"/>
      <c r="U3" s="798"/>
      <c r="V3" s="473"/>
      <c r="W3" s="473"/>
      <c r="X3" s="798"/>
      <c r="Y3" s="473"/>
      <c r="Z3" s="473"/>
      <c r="AA3" s="798"/>
      <c r="AB3" s="473"/>
      <c r="AC3" s="473"/>
      <c r="AD3" s="798"/>
      <c r="AE3" s="473"/>
      <c r="AF3" s="473"/>
      <c r="AG3" s="798"/>
      <c r="AH3" s="473"/>
      <c r="AI3" s="473"/>
      <c r="AJ3" s="798"/>
      <c r="AK3" s="473"/>
      <c r="AL3" s="473"/>
      <c r="AM3" s="798"/>
      <c r="AN3" s="473"/>
      <c r="AO3" s="473"/>
      <c r="AP3" s="798"/>
      <c r="AQ3" s="473"/>
      <c r="AR3" s="473"/>
      <c r="AS3" s="798"/>
      <c r="AT3" s="473"/>
      <c r="AU3" s="473"/>
      <c r="AV3" s="798"/>
      <c r="AW3" s="473"/>
      <c r="AX3" s="473"/>
      <c r="AY3" s="798"/>
      <c r="AZ3" s="473"/>
      <c r="BA3" s="473"/>
      <c r="BB3" s="798"/>
      <c r="BC3" s="473"/>
      <c r="BD3" s="473"/>
      <c r="BE3" s="798"/>
      <c r="BF3" s="473"/>
      <c r="BG3" s="473"/>
      <c r="BH3" s="798"/>
      <c r="BI3" s="473"/>
      <c r="BJ3" s="473"/>
      <c r="BK3" s="798"/>
      <c r="BL3" s="473"/>
      <c r="BM3" s="473"/>
      <c r="BN3" s="798"/>
      <c r="BO3" s="473"/>
      <c r="BP3" s="473"/>
      <c r="BQ3" s="798"/>
      <c r="BR3" s="473"/>
      <c r="BS3" s="473"/>
      <c r="BT3" s="798"/>
      <c r="BU3" s="473"/>
      <c r="BV3" s="473"/>
      <c r="BW3" s="798"/>
      <c r="BX3" s="473"/>
      <c r="BY3" s="473"/>
      <c r="BZ3" s="798"/>
      <c r="CA3" s="473"/>
      <c r="CE3" s="529"/>
    </row>
    <row r="4" spans="1:83" s="799" customFormat="1" ht="17.25" customHeight="1" thickBot="1" x14ac:dyDescent="0.25">
      <c r="A4" s="2222" t="s">
        <v>12</v>
      </c>
      <c r="B4" s="2223"/>
      <c r="C4" s="2223"/>
      <c r="D4" s="2223"/>
      <c r="E4" s="2223"/>
      <c r="F4" s="2223"/>
      <c r="G4" s="2224"/>
      <c r="H4" s="2225" t="s">
        <v>156</v>
      </c>
      <c r="I4" s="2226"/>
      <c r="J4" s="2227"/>
      <c r="K4" s="2225" t="s">
        <v>157</v>
      </c>
      <c r="L4" s="2226"/>
      <c r="M4" s="2227"/>
      <c r="N4" s="2225" t="s">
        <v>158</v>
      </c>
      <c r="O4" s="2226"/>
      <c r="P4" s="2227"/>
      <c r="Q4" s="2225" t="s">
        <v>159</v>
      </c>
      <c r="R4" s="2226"/>
      <c r="S4" s="2227"/>
      <c r="T4" s="2225" t="s">
        <v>160</v>
      </c>
      <c r="U4" s="2226"/>
      <c r="V4" s="2227"/>
      <c r="W4" s="2225" t="s">
        <v>161</v>
      </c>
      <c r="X4" s="2226"/>
      <c r="Y4" s="2227"/>
      <c r="Z4" s="2225" t="s">
        <v>162</v>
      </c>
      <c r="AA4" s="2226"/>
      <c r="AB4" s="2227"/>
      <c r="AC4" s="2225" t="s">
        <v>163</v>
      </c>
      <c r="AD4" s="2226"/>
      <c r="AE4" s="2227"/>
      <c r="AF4" s="2225" t="s">
        <v>164</v>
      </c>
      <c r="AG4" s="2226"/>
      <c r="AH4" s="2227"/>
      <c r="AI4" s="2225" t="s">
        <v>165</v>
      </c>
      <c r="AJ4" s="2226"/>
      <c r="AK4" s="2227"/>
      <c r="AL4" s="2225" t="s">
        <v>166</v>
      </c>
      <c r="AM4" s="2226"/>
      <c r="AN4" s="2227"/>
      <c r="AO4" s="2225" t="s">
        <v>167</v>
      </c>
      <c r="AP4" s="2226"/>
      <c r="AQ4" s="2227"/>
      <c r="AR4" s="2225" t="s">
        <v>168</v>
      </c>
      <c r="AS4" s="2226"/>
      <c r="AT4" s="2227"/>
      <c r="AU4" s="2225" t="s">
        <v>169</v>
      </c>
      <c r="AV4" s="2226"/>
      <c r="AW4" s="2227"/>
      <c r="AX4" s="2225" t="s">
        <v>170</v>
      </c>
      <c r="AY4" s="2226"/>
      <c r="AZ4" s="2227"/>
      <c r="BA4" s="2225" t="s">
        <v>171</v>
      </c>
      <c r="BB4" s="2226"/>
      <c r="BC4" s="2227"/>
      <c r="BD4" s="2225" t="s">
        <v>172</v>
      </c>
      <c r="BE4" s="2226"/>
      <c r="BF4" s="2227"/>
      <c r="BG4" s="2225" t="s">
        <v>173</v>
      </c>
      <c r="BH4" s="2226"/>
      <c r="BI4" s="2227"/>
      <c r="BJ4" s="2225" t="s">
        <v>174</v>
      </c>
      <c r="BK4" s="2226"/>
      <c r="BL4" s="2227"/>
      <c r="BM4" s="2225" t="s">
        <v>175</v>
      </c>
      <c r="BN4" s="2226"/>
      <c r="BO4" s="2227"/>
      <c r="BP4" s="2225" t="s">
        <v>176</v>
      </c>
      <c r="BQ4" s="2226"/>
      <c r="BR4" s="2227"/>
      <c r="BS4" s="2225" t="s">
        <v>177</v>
      </c>
      <c r="BT4" s="2226"/>
      <c r="BU4" s="2227"/>
      <c r="BV4" s="2225" t="s">
        <v>178</v>
      </c>
      <c r="BW4" s="2226"/>
      <c r="BX4" s="2227"/>
      <c r="BY4" s="2225" t="s">
        <v>179</v>
      </c>
      <c r="BZ4" s="2226"/>
      <c r="CA4" s="2227"/>
    </row>
    <row r="5" spans="1:83" x14ac:dyDescent="0.2">
      <c r="A5" s="2228" t="s">
        <v>180</v>
      </c>
      <c r="B5" s="2229"/>
      <c r="C5" s="2232" t="s">
        <v>181</v>
      </c>
      <c r="D5" s="2234"/>
      <c r="E5" s="2235"/>
      <c r="F5" s="2235"/>
      <c r="G5" s="2236"/>
      <c r="H5" s="551" t="s">
        <v>4</v>
      </c>
      <c r="I5" s="552" t="s">
        <v>9</v>
      </c>
      <c r="J5" s="553" t="s">
        <v>10</v>
      </c>
      <c r="K5" s="551" t="s">
        <v>4</v>
      </c>
      <c r="L5" s="552" t="s">
        <v>9</v>
      </c>
      <c r="M5" s="553" t="s">
        <v>10</v>
      </c>
      <c r="N5" s="551" t="s">
        <v>4</v>
      </c>
      <c r="O5" s="552" t="s">
        <v>9</v>
      </c>
      <c r="P5" s="553" t="s">
        <v>10</v>
      </c>
      <c r="Q5" s="551" t="s">
        <v>4</v>
      </c>
      <c r="R5" s="552" t="s">
        <v>9</v>
      </c>
      <c r="S5" s="553" t="s">
        <v>10</v>
      </c>
      <c r="T5" s="551" t="s">
        <v>4</v>
      </c>
      <c r="U5" s="552" t="s">
        <v>9</v>
      </c>
      <c r="V5" s="553" t="s">
        <v>10</v>
      </c>
      <c r="W5" s="551" t="s">
        <v>4</v>
      </c>
      <c r="X5" s="552" t="s">
        <v>9</v>
      </c>
      <c r="Y5" s="553" t="s">
        <v>10</v>
      </c>
      <c r="Z5" s="551" t="s">
        <v>4</v>
      </c>
      <c r="AA5" s="552" t="s">
        <v>9</v>
      </c>
      <c r="AB5" s="553" t="s">
        <v>10</v>
      </c>
      <c r="AC5" s="551" t="s">
        <v>4</v>
      </c>
      <c r="AD5" s="552" t="s">
        <v>9</v>
      </c>
      <c r="AE5" s="553" t="s">
        <v>10</v>
      </c>
      <c r="AF5" s="551" t="s">
        <v>4</v>
      </c>
      <c r="AG5" s="552" t="s">
        <v>9</v>
      </c>
      <c r="AH5" s="553" t="s">
        <v>10</v>
      </c>
      <c r="AI5" s="551" t="s">
        <v>4</v>
      </c>
      <c r="AJ5" s="552" t="s">
        <v>9</v>
      </c>
      <c r="AK5" s="553" t="s">
        <v>10</v>
      </c>
      <c r="AL5" s="551" t="s">
        <v>4</v>
      </c>
      <c r="AM5" s="552" t="s">
        <v>9</v>
      </c>
      <c r="AN5" s="553" t="s">
        <v>10</v>
      </c>
      <c r="AO5" s="551" t="s">
        <v>4</v>
      </c>
      <c r="AP5" s="552" t="s">
        <v>9</v>
      </c>
      <c r="AQ5" s="553" t="s">
        <v>10</v>
      </c>
      <c r="AR5" s="551" t="s">
        <v>4</v>
      </c>
      <c r="AS5" s="552" t="s">
        <v>9</v>
      </c>
      <c r="AT5" s="553" t="s">
        <v>10</v>
      </c>
      <c r="AU5" s="551" t="s">
        <v>4</v>
      </c>
      <c r="AV5" s="552" t="s">
        <v>9</v>
      </c>
      <c r="AW5" s="553" t="s">
        <v>10</v>
      </c>
      <c r="AX5" s="551" t="s">
        <v>4</v>
      </c>
      <c r="AY5" s="552" t="s">
        <v>9</v>
      </c>
      <c r="AZ5" s="553" t="s">
        <v>10</v>
      </c>
      <c r="BA5" s="551" t="s">
        <v>4</v>
      </c>
      <c r="BB5" s="552" t="s">
        <v>9</v>
      </c>
      <c r="BC5" s="553" t="s">
        <v>10</v>
      </c>
      <c r="BD5" s="551" t="s">
        <v>4</v>
      </c>
      <c r="BE5" s="552" t="s">
        <v>9</v>
      </c>
      <c r="BF5" s="553" t="s">
        <v>10</v>
      </c>
      <c r="BG5" s="551" t="s">
        <v>4</v>
      </c>
      <c r="BH5" s="552" t="s">
        <v>9</v>
      </c>
      <c r="BI5" s="553" t="s">
        <v>10</v>
      </c>
      <c r="BJ5" s="551" t="s">
        <v>4</v>
      </c>
      <c r="BK5" s="552" t="s">
        <v>9</v>
      </c>
      <c r="BL5" s="553" t="s">
        <v>10</v>
      </c>
      <c r="BM5" s="551" t="s">
        <v>4</v>
      </c>
      <c r="BN5" s="552" t="s">
        <v>9</v>
      </c>
      <c r="BO5" s="553" t="s">
        <v>10</v>
      </c>
      <c r="BP5" s="551" t="s">
        <v>4</v>
      </c>
      <c r="BQ5" s="552" t="s">
        <v>9</v>
      </c>
      <c r="BR5" s="553" t="s">
        <v>10</v>
      </c>
      <c r="BS5" s="551" t="s">
        <v>4</v>
      </c>
      <c r="BT5" s="552" t="s">
        <v>9</v>
      </c>
      <c r="BU5" s="553" t="s">
        <v>10</v>
      </c>
      <c r="BV5" s="551" t="s">
        <v>4</v>
      </c>
      <c r="BW5" s="552" t="s">
        <v>9</v>
      </c>
      <c r="BX5" s="553" t="s">
        <v>10</v>
      </c>
      <c r="BY5" s="551" t="s">
        <v>4</v>
      </c>
      <c r="BZ5" s="552" t="s">
        <v>9</v>
      </c>
      <c r="CA5" s="553" t="s">
        <v>10</v>
      </c>
    </row>
    <row r="6" spans="1:83" ht="13.5" thickBot="1" x14ac:dyDescent="0.25">
      <c r="A6" s="2230"/>
      <c r="B6" s="2231"/>
      <c r="C6" s="2233"/>
      <c r="D6" s="2237"/>
      <c r="E6" s="2238"/>
      <c r="F6" s="2238"/>
      <c r="G6" s="2239"/>
      <c r="H6" s="800" t="s">
        <v>30</v>
      </c>
      <c r="I6" s="801" t="s">
        <v>31</v>
      </c>
      <c r="J6" s="802" t="s">
        <v>32</v>
      </c>
      <c r="K6" s="800" t="s">
        <v>30</v>
      </c>
      <c r="L6" s="801" t="s">
        <v>31</v>
      </c>
      <c r="M6" s="802" t="s">
        <v>32</v>
      </c>
      <c r="N6" s="800" t="s">
        <v>30</v>
      </c>
      <c r="O6" s="801" t="s">
        <v>31</v>
      </c>
      <c r="P6" s="802" t="s">
        <v>32</v>
      </c>
      <c r="Q6" s="800" t="s">
        <v>30</v>
      </c>
      <c r="R6" s="801" t="s">
        <v>31</v>
      </c>
      <c r="S6" s="802" t="s">
        <v>32</v>
      </c>
      <c r="T6" s="800" t="s">
        <v>30</v>
      </c>
      <c r="U6" s="801" t="s">
        <v>31</v>
      </c>
      <c r="V6" s="802" t="s">
        <v>32</v>
      </c>
      <c r="W6" s="800" t="s">
        <v>30</v>
      </c>
      <c r="X6" s="801" t="s">
        <v>31</v>
      </c>
      <c r="Y6" s="802" t="s">
        <v>32</v>
      </c>
      <c r="Z6" s="800" t="s">
        <v>30</v>
      </c>
      <c r="AA6" s="801" t="s">
        <v>31</v>
      </c>
      <c r="AB6" s="802" t="s">
        <v>32</v>
      </c>
      <c r="AC6" s="800" t="s">
        <v>30</v>
      </c>
      <c r="AD6" s="801" t="s">
        <v>31</v>
      </c>
      <c r="AE6" s="802" t="s">
        <v>32</v>
      </c>
      <c r="AF6" s="800" t="s">
        <v>30</v>
      </c>
      <c r="AG6" s="801" t="s">
        <v>31</v>
      </c>
      <c r="AH6" s="802" t="s">
        <v>32</v>
      </c>
      <c r="AI6" s="800" t="s">
        <v>30</v>
      </c>
      <c r="AJ6" s="801" t="s">
        <v>31</v>
      </c>
      <c r="AK6" s="802" t="s">
        <v>32</v>
      </c>
      <c r="AL6" s="800" t="s">
        <v>30</v>
      </c>
      <c r="AM6" s="801" t="s">
        <v>31</v>
      </c>
      <c r="AN6" s="802" t="s">
        <v>32</v>
      </c>
      <c r="AO6" s="800" t="s">
        <v>30</v>
      </c>
      <c r="AP6" s="801" t="s">
        <v>31</v>
      </c>
      <c r="AQ6" s="802" t="s">
        <v>32</v>
      </c>
      <c r="AR6" s="800" t="s">
        <v>30</v>
      </c>
      <c r="AS6" s="801" t="s">
        <v>31</v>
      </c>
      <c r="AT6" s="802" t="s">
        <v>32</v>
      </c>
      <c r="AU6" s="800" t="s">
        <v>30</v>
      </c>
      <c r="AV6" s="801" t="s">
        <v>31</v>
      </c>
      <c r="AW6" s="802" t="s">
        <v>32</v>
      </c>
      <c r="AX6" s="800" t="s">
        <v>30</v>
      </c>
      <c r="AY6" s="801" t="s">
        <v>31</v>
      </c>
      <c r="AZ6" s="802" t="s">
        <v>32</v>
      </c>
      <c r="BA6" s="800" t="s">
        <v>30</v>
      </c>
      <c r="BB6" s="801" t="s">
        <v>31</v>
      </c>
      <c r="BC6" s="802" t="s">
        <v>32</v>
      </c>
      <c r="BD6" s="800" t="s">
        <v>30</v>
      </c>
      <c r="BE6" s="801" t="s">
        <v>31</v>
      </c>
      <c r="BF6" s="802" t="s">
        <v>32</v>
      </c>
      <c r="BG6" s="800" t="s">
        <v>30</v>
      </c>
      <c r="BH6" s="801" t="s">
        <v>31</v>
      </c>
      <c r="BI6" s="802" t="s">
        <v>32</v>
      </c>
      <c r="BJ6" s="800" t="s">
        <v>30</v>
      </c>
      <c r="BK6" s="801" t="s">
        <v>31</v>
      </c>
      <c r="BL6" s="802" t="s">
        <v>32</v>
      </c>
      <c r="BM6" s="800" t="s">
        <v>30</v>
      </c>
      <c r="BN6" s="801" t="s">
        <v>31</v>
      </c>
      <c r="BO6" s="802" t="s">
        <v>32</v>
      </c>
      <c r="BP6" s="800" t="s">
        <v>30</v>
      </c>
      <c r="BQ6" s="801" t="s">
        <v>31</v>
      </c>
      <c r="BR6" s="802" t="s">
        <v>32</v>
      </c>
      <c r="BS6" s="800" t="s">
        <v>30</v>
      </c>
      <c r="BT6" s="801" t="s">
        <v>31</v>
      </c>
      <c r="BU6" s="802" t="s">
        <v>32</v>
      </c>
      <c r="BV6" s="800" t="s">
        <v>30</v>
      </c>
      <c r="BW6" s="801" t="s">
        <v>31</v>
      </c>
      <c r="BX6" s="802" t="s">
        <v>32</v>
      </c>
      <c r="BY6" s="800" t="s">
        <v>30</v>
      </c>
      <c r="BZ6" s="801" t="s">
        <v>31</v>
      </c>
      <c r="CA6" s="802" t="s">
        <v>32</v>
      </c>
    </row>
    <row r="7" spans="1:83" ht="15.75" customHeight="1" x14ac:dyDescent="0.2">
      <c r="A7" s="2240" t="s">
        <v>0</v>
      </c>
      <c r="B7" s="2241"/>
      <c r="C7" s="2346">
        <v>2.5</v>
      </c>
      <c r="D7" s="2249" t="s">
        <v>13</v>
      </c>
      <c r="E7" s="2250"/>
      <c r="F7" s="2255" t="s">
        <v>33</v>
      </c>
      <c r="G7" s="2256"/>
      <c r="H7" s="714" t="s">
        <v>84</v>
      </c>
      <c r="I7" s="715" t="s">
        <v>84</v>
      </c>
      <c r="J7" s="716" t="s">
        <v>84</v>
      </c>
      <c r="K7" s="714" t="s">
        <v>84</v>
      </c>
      <c r="L7" s="715" t="s">
        <v>84</v>
      </c>
      <c r="M7" s="716" t="s">
        <v>84</v>
      </c>
      <c r="N7" s="714" t="s">
        <v>84</v>
      </c>
      <c r="O7" s="715" t="s">
        <v>84</v>
      </c>
      <c r="P7" s="716" t="s">
        <v>84</v>
      </c>
      <c r="Q7" s="714" t="s">
        <v>84</v>
      </c>
      <c r="R7" s="715" t="s">
        <v>84</v>
      </c>
      <c r="S7" s="716" t="s">
        <v>84</v>
      </c>
      <c r="T7" s="714" t="s">
        <v>84</v>
      </c>
      <c r="U7" s="715" t="s">
        <v>84</v>
      </c>
      <c r="V7" s="716" t="s">
        <v>84</v>
      </c>
      <c r="W7" s="714" t="s">
        <v>84</v>
      </c>
      <c r="X7" s="715" t="s">
        <v>84</v>
      </c>
      <c r="Y7" s="716" t="s">
        <v>84</v>
      </c>
      <c r="Z7" s="714" t="s">
        <v>84</v>
      </c>
      <c r="AA7" s="715" t="s">
        <v>84</v>
      </c>
      <c r="AB7" s="716" t="s">
        <v>84</v>
      </c>
      <c r="AC7" s="714" t="s">
        <v>84</v>
      </c>
      <c r="AD7" s="715" t="s">
        <v>84</v>
      </c>
      <c r="AE7" s="716" t="s">
        <v>84</v>
      </c>
      <c r="AF7" s="714" t="s">
        <v>84</v>
      </c>
      <c r="AG7" s="715" t="s">
        <v>84</v>
      </c>
      <c r="AH7" s="716" t="s">
        <v>84</v>
      </c>
      <c r="AI7" s="714" t="s">
        <v>84</v>
      </c>
      <c r="AJ7" s="715" t="s">
        <v>84</v>
      </c>
      <c r="AK7" s="716" t="s">
        <v>84</v>
      </c>
      <c r="AL7" s="714" t="s">
        <v>84</v>
      </c>
      <c r="AM7" s="715" t="s">
        <v>84</v>
      </c>
      <c r="AN7" s="716" t="s">
        <v>84</v>
      </c>
      <c r="AO7" s="714" t="s">
        <v>84</v>
      </c>
      <c r="AP7" s="715" t="s">
        <v>84</v>
      </c>
      <c r="AQ7" s="716" t="s">
        <v>84</v>
      </c>
      <c r="AR7" s="714" t="s">
        <v>84</v>
      </c>
      <c r="AS7" s="715" t="s">
        <v>84</v>
      </c>
      <c r="AT7" s="716" t="s">
        <v>84</v>
      </c>
      <c r="AU7" s="714" t="s">
        <v>84</v>
      </c>
      <c r="AV7" s="715" t="s">
        <v>84</v>
      </c>
      <c r="AW7" s="716" t="s">
        <v>84</v>
      </c>
      <c r="AX7" s="714" t="s">
        <v>84</v>
      </c>
      <c r="AY7" s="715" t="s">
        <v>84</v>
      </c>
      <c r="AZ7" s="716" t="s">
        <v>84</v>
      </c>
      <c r="BA7" s="714" t="s">
        <v>84</v>
      </c>
      <c r="BB7" s="715" t="s">
        <v>84</v>
      </c>
      <c r="BC7" s="716" t="s">
        <v>84</v>
      </c>
      <c r="BD7" s="714" t="s">
        <v>84</v>
      </c>
      <c r="BE7" s="715" t="s">
        <v>84</v>
      </c>
      <c r="BF7" s="716" t="s">
        <v>84</v>
      </c>
      <c r="BG7" s="714" t="s">
        <v>84</v>
      </c>
      <c r="BH7" s="715" t="s">
        <v>84</v>
      </c>
      <c r="BI7" s="716" t="s">
        <v>84</v>
      </c>
      <c r="BJ7" s="714" t="s">
        <v>84</v>
      </c>
      <c r="BK7" s="715" t="s">
        <v>84</v>
      </c>
      <c r="BL7" s="716" t="s">
        <v>84</v>
      </c>
      <c r="BM7" s="714" t="s">
        <v>84</v>
      </c>
      <c r="BN7" s="715" t="s">
        <v>84</v>
      </c>
      <c r="BO7" s="716" t="s">
        <v>84</v>
      </c>
      <c r="BP7" s="714" t="s">
        <v>84</v>
      </c>
      <c r="BQ7" s="715" t="s">
        <v>84</v>
      </c>
      <c r="BR7" s="716" t="s">
        <v>84</v>
      </c>
      <c r="BS7" s="714" t="s">
        <v>84</v>
      </c>
      <c r="BT7" s="715" t="s">
        <v>84</v>
      </c>
      <c r="BU7" s="716" t="s">
        <v>84</v>
      </c>
      <c r="BV7" s="714" t="s">
        <v>84</v>
      </c>
      <c r="BW7" s="715" t="s">
        <v>84</v>
      </c>
      <c r="BX7" s="716" t="s">
        <v>84</v>
      </c>
      <c r="BY7" s="714" t="s">
        <v>84</v>
      </c>
      <c r="BZ7" s="715" t="s">
        <v>84</v>
      </c>
      <c r="CA7" s="716" t="s">
        <v>84</v>
      </c>
    </row>
    <row r="8" spans="1:83" s="473" customFormat="1" x14ac:dyDescent="0.2">
      <c r="A8" s="2242"/>
      <c r="B8" s="2243"/>
      <c r="C8" s="2347"/>
      <c r="D8" s="2251"/>
      <c r="E8" s="2252"/>
      <c r="F8" s="2257" t="s">
        <v>34</v>
      </c>
      <c r="G8" s="2258"/>
      <c r="H8" s="575">
        <f>ROUND(SQRT(I8^2+J8^2)*1000/(SQRT(3)*I11),2)</f>
        <v>12.08</v>
      </c>
      <c r="I8" s="594">
        <f>(I31)+I21</f>
        <v>0.209624</v>
      </c>
      <c r="J8" s="594">
        <f>(J31)+J21</f>
        <v>2.6479999999999997E-2</v>
      </c>
      <c r="K8" s="575">
        <f>ROUND(SQRT(L8^2+M8^2)*1000/(SQRT(3)*L11),2)</f>
        <v>11.83</v>
      </c>
      <c r="L8" s="594">
        <f>(L31)+L21</f>
        <v>0.20555200000000001</v>
      </c>
      <c r="M8" s="594">
        <f>(M31)+M21</f>
        <v>2.4383999999999996E-2</v>
      </c>
      <c r="N8" s="575">
        <f>ROUND(SQRT(O8^2+P8^2)*1000/(SQRT(3)*O11),2)</f>
        <v>11.58</v>
      </c>
      <c r="O8" s="594">
        <f>(O31)+O21</f>
        <v>0.20129600000000003</v>
      </c>
      <c r="P8" s="594">
        <f>(P31)+P21</f>
        <v>2.2832000000000002E-2</v>
      </c>
      <c r="Q8" s="575">
        <f>ROUND(SQRT(R8^2+S8^2)*1000/(SQRT(3)*R11),2)</f>
        <v>11.39</v>
      </c>
      <c r="R8" s="594">
        <f>(R31)+R21</f>
        <v>0.19787199999999999</v>
      </c>
      <c r="S8" s="594">
        <f>(S31)+S21</f>
        <v>2.2832000000000002E-2</v>
      </c>
      <c r="T8" s="575">
        <f>ROUND(SQRT(U8^2+V8^2)*1000/(SQRT(3)*U11),2)</f>
        <v>11.33</v>
      </c>
      <c r="U8" s="594">
        <f>(U31)+U21</f>
        <v>0.19687199999999999</v>
      </c>
      <c r="V8" s="594">
        <f>(V31)+V21</f>
        <v>2.2704000000000002E-2</v>
      </c>
      <c r="W8" s="575">
        <f>ROUND(SQRT(X8^2+Y8^2)*1000/(SQRT(3)*X11),2)</f>
        <v>11.44</v>
      </c>
      <c r="X8" s="594">
        <f>(X31)+X21</f>
        <v>0.19896</v>
      </c>
      <c r="Y8" s="594">
        <f>(Y31)+Y21</f>
        <v>2.0887999999999997E-2</v>
      </c>
      <c r="Z8" s="575">
        <f>ROUND(SQRT(AA8^2+AB8^2)*1000/(SQRT(3)*AA11),2)</f>
        <v>12.22</v>
      </c>
      <c r="AA8" s="594">
        <f>(AA31)+AA21</f>
        <v>0.21257599999999996</v>
      </c>
      <c r="AB8" s="594">
        <f>(AB31)+AB21</f>
        <v>2.2296000000000003E-2</v>
      </c>
      <c r="AC8" s="575">
        <f>ROUND(SQRT(AD8^2+AE8^2)*1000/(SQRT(3)*AD11),2)</f>
        <v>12.68</v>
      </c>
      <c r="AD8" s="594">
        <f>(AD31)+AD21</f>
        <v>0.22091999999999998</v>
      </c>
      <c r="AE8" s="594">
        <f>(AE31)+AE21</f>
        <v>2.0223999999999999E-2</v>
      </c>
      <c r="AF8" s="575">
        <f>ROUND(SQRT(AG8^2+AH8^2)*1000/(SQRT(3)*AG11),2)</f>
        <v>12.38</v>
      </c>
      <c r="AG8" s="594">
        <f>(AG31)+AG21</f>
        <v>0.21574399999999999</v>
      </c>
      <c r="AH8" s="594">
        <f>(AH31)+AH21</f>
        <v>1.9800000000000002E-2</v>
      </c>
      <c r="AI8" s="575">
        <f>ROUND(SQRT(AJ8^2+AK8^2)*1000/(SQRT(3)*AJ11),2)</f>
        <v>12.64</v>
      </c>
      <c r="AJ8" s="594">
        <f>(AJ31)+AJ21</f>
        <v>0.22004800000000002</v>
      </c>
      <c r="AK8" s="594">
        <f>(AK31)+AK21</f>
        <v>2.2200000000000001E-2</v>
      </c>
      <c r="AL8" s="575">
        <f>ROUND(SQRT(AM8^2+AN8^2)*1000/(SQRT(3)*AM11),2)</f>
        <v>12.32</v>
      </c>
      <c r="AM8" s="594">
        <f>(AM31)+AM21</f>
        <v>0.21380000000000005</v>
      </c>
      <c r="AN8" s="594">
        <f>(AN31)+AN21</f>
        <v>2.6919999999999999E-2</v>
      </c>
      <c r="AO8" s="575">
        <f>ROUND(SQRT(AP8^2+AQ8^2)*1000/(SQRT(3)*AP11),2)</f>
        <v>12.14</v>
      </c>
      <c r="AP8" s="594">
        <f>(AP31)+AP21</f>
        <v>0.210728</v>
      </c>
      <c r="AQ8" s="594">
        <f>(AQ31)+AQ21</f>
        <v>2.6616000000000004E-2</v>
      </c>
      <c r="AR8" s="575">
        <f>ROUND(SQRT(AS8^2+AT8^2)*1000/(SQRT(3)*AS11),2)</f>
        <v>12.24</v>
      </c>
      <c r="AS8" s="594">
        <f>(AS31)+AS21</f>
        <v>0.21243999999999999</v>
      </c>
      <c r="AT8" s="594">
        <f>(AT31)+AT21</f>
        <v>2.7344E-2</v>
      </c>
      <c r="AU8" s="575">
        <f>ROUND(SQRT(AV8^2+AW8^2)*1000/(SQRT(3)*AV11),2)</f>
        <v>12.35</v>
      </c>
      <c r="AV8" s="594">
        <f>(AV31)+AV21</f>
        <v>0.21432000000000004</v>
      </c>
      <c r="AW8" s="594">
        <f>(AW31)+AW21</f>
        <v>2.6592000000000001E-2</v>
      </c>
      <c r="AX8" s="575">
        <f>ROUND(SQRT(AY8^2+AZ8^2)*1000/(SQRT(3)*AY11),2)</f>
        <v>12.36</v>
      </c>
      <c r="AY8" s="594">
        <f>(AY31)+AY21</f>
        <v>0.21451200000000001</v>
      </c>
      <c r="AZ8" s="594">
        <f>(AZ31)+AZ21</f>
        <v>2.6919999999999999E-2</v>
      </c>
      <c r="BA8" s="575">
        <f>ROUND(SQRT(BB8^2+BC8^2)*1000/(SQRT(3)*BB11),2)</f>
        <v>12.92</v>
      </c>
      <c r="BB8" s="594">
        <f>(BB31)+BB21</f>
        <v>0.224768</v>
      </c>
      <c r="BC8" s="594">
        <f>(BC31)+BC21</f>
        <v>2.3999999999999997E-2</v>
      </c>
      <c r="BD8" s="575">
        <f>ROUND(SQRT(BE8^2+BF8^2)*1000/(SQRT(3)*BE11),2)</f>
        <v>13.53</v>
      </c>
      <c r="BE8" s="594">
        <f>(BE31)+BE21</f>
        <v>0.23563999999999999</v>
      </c>
      <c r="BF8" s="594">
        <f>(BF31)+BF21</f>
        <v>2.2944000000000003E-2</v>
      </c>
      <c r="BG8" s="575">
        <f>ROUND(SQRT(BH8^2+BI8^2)*1000/(SQRT(3)*BH11),2)</f>
        <v>13.62</v>
      </c>
      <c r="BH8" s="594">
        <f>(BH31)+BH21</f>
        <v>0.23725599999999999</v>
      </c>
      <c r="BI8" s="594">
        <f>(BI31)+BI21</f>
        <v>2.1527999999999999E-2</v>
      </c>
      <c r="BJ8" s="575">
        <f>ROUND(SQRT(BK8^2+BL8^2)*1000/(SQRT(3)*BK11),2)</f>
        <v>13.83</v>
      </c>
      <c r="BK8" s="594">
        <f>(BK31)+BK21</f>
        <v>0.24091200000000002</v>
      </c>
      <c r="BL8" s="594">
        <f>(BL31)+BL21</f>
        <v>2.1903999999999996E-2</v>
      </c>
      <c r="BM8" s="575">
        <f>ROUND(SQRT(BN8^2+BO8^2)*1000/(SQRT(3)*BN11),2)</f>
        <v>13.67</v>
      </c>
      <c r="BN8" s="594">
        <f>(BN31)+BN21</f>
        <v>0.23814399999999999</v>
      </c>
      <c r="BO8" s="594">
        <f>(BO31)+BO21</f>
        <v>2.1671999999999997E-2</v>
      </c>
      <c r="BP8" s="575">
        <f>ROUND(SQRT(BQ8^2+BR8^2)*1000/(SQRT(3)*BQ11),2)</f>
        <v>13.46</v>
      </c>
      <c r="BQ8" s="594">
        <f>(BQ31)+BQ21</f>
        <v>0.234344</v>
      </c>
      <c r="BR8" s="594">
        <f>(BR31)+BR21</f>
        <v>2.3728000000000003E-2</v>
      </c>
      <c r="BS8" s="575">
        <f>ROUND(SQRT(BT8^2+BU8^2)*1000/(SQRT(3)*BT11),2)</f>
        <v>13.16</v>
      </c>
      <c r="BT8" s="594">
        <f>(BT31)+BT21</f>
        <v>0.22899199999999997</v>
      </c>
      <c r="BU8" s="594">
        <f>(BU31)+BU21</f>
        <v>2.3031999999999997E-2</v>
      </c>
      <c r="BV8" s="575">
        <f>ROUND(SQRT(BW8^2+BX8^2)*1000/(SQRT(3)*BW11),2)</f>
        <v>12.49</v>
      </c>
      <c r="BW8" s="594">
        <f>(BW31)+BW21</f>
        <v>0.21696799999999999</v>
      </c>
      <c r="BX8" s="594">
        <f>(BX31)+BX21</f>
        <v>2.5575999999999998E-2</v>
      </c>
      <c r="BY8" s="575">
        <f>ROUND(SQRT(BZ8^2+CA8^2)*1000/(SQRT(3)*BZ11),2)</f>
        <v>12.02</v>
      </c>
      <c r="BZ8" s="594">
        <f>(BZ31)+BZ21</f>
        <v>0.20872000000000002</v>
      </c>
      <c r="CA8" s="594">
        <f>(CA31)+CA21</f>
        <v>2.5176E-2</v>
      </c>
      <c r="CB8" s="717">
        <f>SUM(BZ8,BW8,BT8,BQ8,BN8,BK8,BH8,BE8,BB8,AY8,AV8,AS8,AP8,AM8,AJ8,AG8,AD8,AA8,X8,U8,R8,O8,L8,I8)</f>
        <v>5.2110079999999996</v>
      </c>
      <c r="CC8" s="618">
        <f>SUM(CA8,BX8,BU8,BR8,BO8,BL8,BI8,BF8,BC8,AZ8,AW8,AT8,AQ8,AN8,AK8,AH8,AE8,AB8,Y8,V8,S8,P8,M8,J8)</f>
        <v>0.56859199999999988</v>
      </c>
      <c r="CD8" s="798"/>
    </row>
    <row r="9" spans="1:83" ht="13.5" customHeight="1" thickBot="1" x14ac:dyDescent="0.25">
      <c r="A9" s="2242"/>
      <c r="B9" s="2243"/>
      <c r="C9" s="2347"/>
      <c r="D9" s="2253"/>
      <c r="E9" s="2254"/>
      <c r="F9" s="2259"/>
      <c r="G9" s="2260"/>
      <c r="H9" s="718" t="s">
        <v>84</v>
      </c>
      <c r="I9" s="719" t="s">
        <v>84</v>
      </c>
      <c r="J9" s="720" t="s">
        <v>84</v>
      </c>
      <c r="K9" s="718" t="s">
        <v>84</v>
      </c>
      <c r="L9" s="719" t="s">
        <v>84</v>
      </c>
      <c r="M9" s="720" t="s">
        <v>84</v>
      </c>
      <c r="N9" s="718" t="s">
        <v>84</v>
      </c>
      <c r="O9" s="719" t="s">
        <v>84</v>
      </c>
      <c r="P9" s="720" t="s">
        <v>84</v>
      </c>
      <c r="Q9" s="718" t="s">
        <v>84</v>
      </c>
      <c r="R9" s="719" t="s">
        <v>84</v>
      </c>
      <c r="S9" s="720" t="s">
        <v>84</v>
      </c>
      <c r="T9" s="718" t="s">
        <v>84</v>
      </c>
      <c r="U9" s="719" t="s">
        <v>84</v>
      </c>
      <c r="V9" s="720" t="s">
        <v>84</v>
      </c>
      <c r="W9" s="718" t="s">
        <v>84</v>
      </c>
      <c r="X9" s="719" t="s">
        <v>84</v>
      </c>
      <c r="Y9" s="720" t="s">
        <v>84</v>
      </c>
      <c r="Z9" s="718" t="s">
        <v>84</v>
      </c>
      <c r="AA9" s="719" t="s">
        <v>84</v>
      </c>
      <c r="AB9" s="720" t="s">
        <v>84</v>
      </c>
      <c r="AC9" s="718" t="s">
        <v>84</v>
      </c>
      <c r="AD9" s="719" t="s">
        <v>84</v>
      </c>
      <c r="AE9" s="720" t="s">
        <v>84</v>
      </c>
      <c r="AF9" s="718" t="s">
        <v>84</v>
      </c>
      <c r="AG9" s="719" t="s">
        <v>84</v>
      </c>
      <c r="AH9" s="720" t="s">
        <v>84</v>
      </c>
      <c r="AI9" s="718" t="s">
        <v>84</v>
      </c>
      <c r="AJ9" s="719" t="s">
        <v>84</v>
      </c>
      <c r="AK9" s="720" t="s">
        <v>84</v>
      </c>
      <c r="AL9" s="718" t="s">
        <v>84</v>
      </c>
      <c r="AM9" s="719" t="s">
        <v>84</v>
      </c>
      <c r="AN9" s="720" t="s">
        <v>84</v>
      </c>
      <c r="AO9" s="718" t="s">
        <v>84</v>
      </c>
      <c r="AP9" s="719" t="s">
        <v>84</v>
      </c>
      <c r="AQ9" s="720" t="s">
        <v>84</v>
      </c>
      <c r="AR9" s="718" t="s">
        <v>84</v>
      </c>
      <c r="AS9" s="719" t="s">
        <v>84</v>
      </c>
      <c r="AT9" s="720" t="s">
        <v>84</v>
      </c>
      <c r="AU9" s="718" t="s">
        <v>84</v>
      </c>
      <c r="AV9" s="719" t="s">
        <v>84</v>
      </c>
      <c r="AW9" s="720" t="s">
        <v>84</v>
      </c>
      <c r="AX9" s="718" t="s">
        <v>84</v>
      </c>
      <c r="AY9" s="719" t="s">
        <v>84</v>
      </c>
      <c r="AZ9" s="720" t="s">
        <v>84</v>
      </c>
      <c r="BA9" s="718" t="s">
        <v>84</v>
      </c>
      <c r="BB9" s="719" t="s">
        <v>84</v>
      </c>
      <c r="BC9" s="720" t="s">
        <v>84</v>
      </c>
      <c r="BD9" s="718" t="s">
        <v>84</v>
      </c>
      <c r="BE9" s="719" t="s">
        <v>84</v>
      </c>
      <c r="BF9" s="720" t="s">
        <v>84</v>
      </c>
      <c r="BG9" s="718" t="s">
        <v>84</v>
      </c>
      <c r="BH9" s="719" t="s">
        <v>84</v>
      </c>
      <c r="BI9" s="720" t="s">
        <v>84</v>
      </c>
      <c r="BJ9" s="718" t="s">
        <v>84</v>
      </c>
      <c r="BK9" s="719" t="s">
        <v>84</v>
      </c>
      <c r="BL9" s="720" t="s">
        <v>84</v>
      </c>
      <c r="BM9" s="718" t="s">
        <v>84</v>
      </c>
      <c r="BN9" s="719" t="s">
        <v>84</v>
      </c>
      <c r="BO9" s="720" t="s">
        <v>84</v>
      </c>
      <c r="BP9" s="718" t="s">
        <v>84</v>
      </c>
      <c r="BQ9" s="719" t="s">
        <v>84</v>
      </c>
      <c r="BR9" s="720" t="s">
        <v>84</v>
      </c>
      <c r="BS9" s="718" t="s">
        <v>84</v>
      </c>
      <c r="BT9" s="719" t="s">
        <v>84</v>
      </c>
      <c r="BU9" s="720" t="s">
        <v>84</v>
      </c>
      <c r="BV9" s="718" t="s">
        <v>84</v>
      </c>
      <c r="BW9" s="719" t="s">
        <v>84</v>
      </c>
      <c r="BX9" s="720" t="s">
        <v>84</v>
      </c>
      <c r="BY9" s="718" t="s">
        <v>84</v>
      </c>
      <c r="BZ9" s="719" t="s">
        <v>84</v>
      </c>
      <c r="CA9" s="720" t="s">
        <v>84</v>
      </c>
    </row>
    <row r="10" spans="1:83" s="807" customFormat="1" x14ac:dyDescent="0.2">
      <c r="A10" s="2242"/>
      <c r="B10" s="2243"/>
      <c r="C10" s="2347"/>
      <c r="D10" s="2249" t="s">
        <v>14</v>
      </c>
      <c r="E10" s="2250"/>
      <c r="F10" s="2349" t="s">
        <v>33</v>
      </c>
      <c r="G10" s="2350"/>
      <c r="H10" s="803"/>
      <c r="I10" s="804">
        <v>115</v>
      </c>
      <c r="J10" s="805"/>
      <c r="K10" s="803"/>
      <c r="L10" s="804">
        <v>115</v>
      </c>
      <c r="M10" s="805"/>
      <c r="N10" s="803"/>
      <c r="O10" s="804">
        <v>115</v>
      </c>
      <c r="P10" s="805"/>
      <c r="Q10" s="803"/>
      <c r="R10" s="804">
        <v>115</v>
      </c>
      <c r="S10" s="805"/>
      <c r="T10" s="803"/>
      <c r="U10" s="804">
        <v>115</v>
      </c>
      <c r="V10" s="805"/>
      <c r="W10" s="803"/>
      <c r="X10" s="804">
        <v>115</v>
      </c>
      <c r="Y10" s="805"/>
      <c r="Z10" s="803"/>
      <c r="AA10" s="804">
        <v>115</v>
      </c>
      <c r="AB10" s="805"/>
      <c r="AC10" s="803"/>
      <c r="AD10" s="804">
        <v>115</v>
      </c>
      <c r="AE10" s="805"/>
      <c r="AF10" s="803"/>
      <c r="AG10" s="804">
        <v>115</v>
      </c>
      <c r="AH10" s="805"/>
      <c r="AI10" s="803"/>
      <c r="AJ10" s="804">
        <v>115</v>
      </c>
      <c r="AK10" s="805"/>
      <c r="AL10" s="803"/>
      <c r="AM10" s="804">
        <v>115</v>
      </c>
      <c r="AN10" s="805"/>
      <c r="AO10" s="803"/>
      <c r="AP10" s="804">
        <v>115</v>
      </c>
      <c r="AQ10" s="805"/>
      <c r="AR10" s="803"/>
      <c r="AS10" s="804">
        <v>115</v>
      </c>
      <c r="AT10" s="805"/>
      <c r="AU10" s="803"/>
      <c r="AV10" s="804">
        <v>115</v>
      </c>
      <c r="AW10" s="805"/>
      <c r="AX10" s="803"/>
      <c r="AY10" s="804">
        <v>115</v>
      </c>
      <c r="AZ10" s="805"/>
      <c r="BA10" s="803"/>
      <c r="BB10" s="804">
        <v>115</v>
      </c>
      <c r="BC10" s="805"/>
      <c r="BD10" s="803"/>
      <c r="BE10" s="804">
        <v>115</v>
      </c>
      <c r="BF10" s="805"/>
      <c r="BG10" s="803"/>
      <c r="BH10" s="804">
        <v>115</v>
      </c>
      <c r="BI10" s="805"/>
      <c r="BJ10" s="803"/>
      <c r="BK10" s="804">
        <v>115</v>
      </c>
      <c r="BL10" s="805"/>
      <c r="BM10" s="803"/>
      <c r="BN10" s="804">
        <v>115</v>
      </c>
      <c r="BO10" s="805"/>
      <c r="BP10" s="803"/>
      <c r="BQ10" s="804">
        <v>115</v>
      </c>
      <c r="BR10" s="805"/>
      <c r="BS10" s="803"/>
      <c r="BT10" s="804">
        <v>115</v>
      </c>
      <c r="BU10" s="805"/>
      <c r="BV10" s="803"/>
      <c r="BW10" s="804">
        <v>115</v>
      </c>
      <c r="BX10" s="805"/>
      <c r="BY10" s="803"/>
      <c r="BZ10" s="804">
        <v>115</v>
      </c>
      <c r="CA10" s="805"/>
      <c r="CB10" s="806"/>
    </row>
    <row r="11" spans="1:83" s="807" customFormat="1" x14ac:dyDescent="0.2">
      <c r="A11" s="2242"/>
      <c r="B11" s="2243"/>
      <c r="C11" s="2347"/>
      <c r="D11" s="2251"/>
      <c r="E11" s="2252"/>
      <c r="F11" s="2351" t="s">
        <v>34</v>
      </c>
      <c r="G11" s="2352"/>
      <c r="H11" s="808"/>
      <c r="I11" s="809">
        <v>10.1</v>
      </c>
      <c r="J11" s="810"/>
      <c r="K11" s="808"/>
      <c r="L11" s="809">
        <v>10.1</v>
      </c>
      <c r="M11" s="810"/>
      <c r="N11" s="808"/>
      <c r="O11" s="809">
        <v>10.1</v>
      </c>
      <c r="P11" s="810"/>
      <c r="Q11" s="808"/>
      <c r="R11" s="809">
        <v>10.1</v>
      </c>
      <c r="S11" s="810"/>
      <c r="T11" s="808"/>
      <c r="U11" s="809">
        <v>10.1</v>
      </c>
      <c r="V11" s="810"/>
      <c r="W11" s="808"/>
      <c r="X11" s="809">
        <v>10.1</v>
      </c>
      <c r="Y11" s="810"/>
      <c r="Z11" s="808"/>
      <c r="AA11" s="809">
        <v>10.1</v>
      </c>
      <c r="AB11" s="810"/>
      <c r="AC11" s="808"/>
      <c r="AD11" s="809">
        <v>10.1</v>
      </c>
      <c r="AE11" s="810"/>
      <c r="AF11" s="808"/>
      <c r="AG11" s="809">
        <v>10.1</v>
      </c>
      <c r="AH11" s="810"/>
      <c r="AI11" s="808"/>
      <c r="AJ11" s="809">
        <v>10.1</v>
      </c>
      <c r="AK11" s="810"/>
      <c r="AL11" s="808"/>
      <c r="AM11" s="809">
        <v>10.1</v>
      </c>
      <c r="AN11" s="810"/>
      <c r="AO11" s="808"/>
      <c r="AP11" s="809">
        <v>10.1</v>
      </c>
      <c r="AQ11" s="810"/>
      <c r="AR11" s="808"/>
      <c r="AS11" s="809">
        <v>10.1</v>
      </c>
      <c r="AT11" s="810"/>
      <c r="AU11" s="808"/>
      <c r="AV11" s="809">
        <v>10.1</v>
      </c>
      <c r="AW11" s="810"/>
      <c r="AX11" s="808"/>
      <c r="AY11" s="809">
        <v>10.1</v>
      </c>
      <c r="AZ11" s="810"/>
      <c r="BA11" s="808"/>
      <c r="BB11" s="809">
        <v>10.1</v>
      </c>
      <c r="BC11" s="810"/>
      <c r="BD11" s="808"/>
      <c r="BE11" s="809">
        <v>10.1</v>
      </c>
      <c r="BF11" s="810"/>
      <c r="BG11" s="808"/>
      <c r="BH11" s="809">
        <v>10.1</v>
      </c>
      <c r="BI11" s="810"/>
      <c r="BJ11" s="808"/>
      <c r="BK11" s="809">
        <v>10.1</v>
      </c>
      <c r="BL11" s="810"/>
      <c r="BM11" s="808"/>
      <c r="BN11" s="809">
        <v>10.1</v>
      </c>
      <c r="BO11" s="810"/>
      <c r="BP11" s="808"/>
      <c r="BQ11" s="809">
        <v>10.1</v>
      </c>
      <c r="BR11" s="810"/>
      <c r="BS11" s="808"/>
      <c r="BT11" s="809">
        <v>10.1</v>
      </c>
      <c r="BU11" s="810"/>
      <c r="BV11" s="808"/>
      <c r="BW11" s="809">
        <v>10.1</v>
      </c>
      <c r="BX11" s="810"/>
      <c r="BY11" s="808"/>
      <c r="BZ11" s="809">
        <v>10.1</v>
      </c>
      <c r="CA11" s="810"/>
      <c r="CB11" s="806"/>
    </row>
    <row r="12" spans="1:83" ht="13.5" thickBot="1" x14ac:dyDescent="0.25">
      <c r="A12" s="2242"/>
      <c r="B12" s="2243"/>
      <c r="C12" s="2347"/>
      <c r="D12" s="2253"/>
      <c r="E12" s="2254"/>
      <c r="F12" s="2259"/>
      <c r="G12" s="2260"/>
      <c r="H12" s="811"/>
      <c r="I12" s="522" t="s">
        <v>84</v>
      </c>
      <c r="J12" s="526"/>
      <c r="K12" s="811"/>
      <c r="L12" s="522" t="s">
        <v>84</v>
      </c>
      <c r="M12" s="526"/>
      <c r="N12" s="811"/>
      <c r="O12" s="522" t="s">
        <v>84</v>
      </c>
      <c r="P12" s="526"/>
      <c r="Q12" s="811"/>
      <c r="R12" s="522" t="s">
        <v>84</v>
      </c>
      <c r="S12" s="526"/>
      <c r="T12" s="811"/>
      <c r="U12" s="522" t="s">
        <v>84</v>
      </c>
      <c r="V12" s="526"/>
      <c r="W12" s="811"/>
      <c r="X12" s="522" t="s">
        <v>84</v>
      </c>
      <c r="Y12" s="526"/>
      <c r="Z12" s="811"/>
      <c r="AA12" s="522" t="s">
        <v>84</v>
      </c>
      <c r="AB12" s="526"/>
      <c r="AC12" s="811"/>
      <c r="AD12" s="522" t="s">
        <v>84</v>
      </c>
      <c r="AE12" s="526"/>
      <c r="AF12" s="811"/>
      <c r="AG12" s="522" t="s">
        <v>84</v>
      </c>
      <c r="AH12" s="526"/>
      <c r="AI12" s="811"/>
      <c r="AJ12" s="522" t="s">
        <v>84</v>
      </c>
      <c r="AK12" s="526"/>
      <c r="AL12" s="811"/>
      <c r="AM12" s="522"/>
      <c r="AN12" s="526"/>
      <c r="AO12" s="811"/>
      <c r="AP12" s="522" t="s">
        <v>84</v>
      </c>
      <c r="AQ12" s="526"/>
      <c r="AR12" s="811"/>
      <c r="AS12" s="522"/>
      <c r="AT12" s="526"/>
      <c r="AU12" s="811"/>
      <c r="AV12" s="522" t="s">
        <v>84</v>
      </c>
      <c r="AW12" s="526"/>
      <c r="AX12" s="811"/>
      <c r="AY12" s="522" t="s">
        <v>84</v>
      </c>
      <c r="AZ12" s="526"/>
      <c r="BA12" s="811"/>
      <c r="BB12" s="522" t="s">
        <v>84</v>
      </c>
      <c r="BC12" s="526"/>
      <c r="BD12" s="811"/>
      <c r="BE12" s="522" t="s">
        <v>84</v>
      </c>
      <c r="BF12" s="526"/>
      <c r="BG12" s="811"/>
      <c r="BH12" s="522" t="s">
        <v>84</v>
      </c>
      <c r="BI12" s="526"/>
      <c r="BJ12" s="811"/>
      <c r="BK12" s="522" t="s">
        <v>84</v>
      </c>
      <c r="BL12" s="526"/>
      <c r="BM12" s="811"/>
      <c r="BN12" s="522" t="s">
        <v>84</v>
      </c>
      <c r="BO12" s="526"/>
      <c r="BP12" s="811"/>
      <c r="BQ12" s="522" t="s">
        <v>84</v>
      </c>
      <c r="BR12" s="526"/>
      <c r="BS12" s="811"/>
      <c r="BT12" s="522" t="s">
        <v>84</v>
      </c>
      <c r="BU12" s="526"/>
      <c r="BV12" s="811"/>
      <c r="BW12" s="522" t="s">
        <v>84</v>
      </c>
      <c r="BX12" s="526"/>
      <c r="BY12" s="811"/>
      <c r="BZ12" s="522" t="s">
        <v>84</v>
      </c>
      <c r="CA12" s="526"/>
      <c r="CB12" s="806"/>
    </row>
    <row r="13" spans="1:83" ht="13.5" thickBot="1" x14ac:dyDescent="0.25">
      <c r="A13" s="2244"/>
      <c r="B13" s="2245"/>
      <c r="C13" s="2348"/>
      <c r="D13" s="2261" t="s">
        <v>39</v>
      </c>
      <c r="E13" s="2262"/>
      <c r="F13" s="2262"/>
      <c r="G13" s="2263"/>
      <c r="H13" s="812"/>
      <c r="I13" s="813">
        <v>21</v>
      </c>
      <c r="J13" s="814"/>
      <c r="K13" s="812"/>
      <c r="L13" s="813">
        <v>21</v>
      </c>
      <c r="M13" s="814"/>
      <c r="N13" s="812"/>
      <c r="O13" s="813">
        <v>21</v>
      </c>
      <c r="P13" s="814"/>
      <c r="Q13" s="812"/>
      <c r="R13" s="813">
        <v>21</v>
      </c>
      <c r="S13" s="814"/>
      <c r="T13" s="812"/>
      <c r="U13" s="813">
        <v>21</v>
      </c>
      <c r="V13" s="814"/>
      <c r="W13" s="812"/>
      <c r="X13" s="813">
        <v>21</v>
      </c>
      <c r="Y13" s="814"/>
      <c r="Z13" s="812"/>
      <c r="AA13" s="813">
        <v>21</v>
      </c>
      <c r="AB13" s="814"/>
      <c r="AC13" s="812"/>
      <c r="AD13" s="813">
        <v>21</v>
      </c>
      <c r="AE13" s="814"/>
      <c r="AF13" s="812"/>
      <c r="AG13" s="813">
        <v>21</v>
      </c>
      <c r="AH13" s="814"/>
      <c r="AI13" s="812"/>
      <c r="AJ13" s="813">
        <v>21</v>
      </c>
      <c r="AK13" s="814"/>
      <c r="AL13" s="812"/>
      <c r="AM13" s="813">
        <v>21</v>
      </c>
      <c r="AN13" s="814"/>
      <c r="AO13" s="812"/>
      <c r="AP13" s="813">
        <v>21</v>
      </c>
      <c r="AQ13" s="814"/>
      <c r="AR13" s="812"/>
      <c r="AS13" s="813">
        <v>21</v>
      </c>
      <c r="AT13" s="814"/>
      <c r="AU13" s="812"/>
      <c r="AV13" s="813">
        <v>21</v>
      </c>
      <c r="AW13" s="814"/>
      <c r="AX13" s="812"/>
      <c r="AY13" s="813">
        <v>21</v>
      </c>
      <c r="AZ13" s="814"/>
      <c r="BA13" s="812"/>
      <c r="BB13" s="813">
        <v>21</v>
      </c>
      <c r="BC13" s="814"/>
      <c r="BD13" s="812"/>
      <c r="BE13" s="813">
        <v>21</v>
      </c>
      <c r="BF13" s="814"/>
      <c r="BG13" s="812"/>
      <c r="BH13" s="813">
        <v>21</v>
      </c>
      <c r="BI13" s="814"/>
      <c r="BJ13" s="812"/>
      <c r="BK13" s="813">
        <v>21</v>
      </c>
      <c r="BL13" s="814"/>
      <c r="BM13" s="812"/>
      <c r="BN13" s="813">
        <v>21</v>
      </c>
      <c r="BO13" s="814"/>
      <c r="BP13" s="812"/>
      <c r="BQ13" s="813">
        <v>21</v>
      </c>
      <c r="BR13" s="814"/>
      <c r="BS13" s="812"/>
      <c r="BT13" s="813">
        <v>21</v>
      </c>
      <c r="BU13" s="814"/>
      <c r="BV13" s="812"/>
      <c r="BW13" s="813">
        <v>21</v>
      </c>
      <c r="BX13" s="814"/>
      <c r="BY13" s="812"/>
      <c r="BZ13" s="813">
        <v>21</v>
      </c>
      <c r="CA13" s="814"/>
      <c r="CB13" s="806"/>
    </row>
    <row r="14" spans="1:83" x14ac:dyDescent="0.2">
      <c r="A14" s="2249" t="s">
        <v>1</v>
      </c>
      <c r="B14" s="2250"/>
      <c r="C14" s="2246">
        <v>2.5</v>
      </c>
      <c r="D14" s="2249" t="s">
        <v>13</v>
      </c>
      <c r="E14" s="2250"/>
      <c r="F14" s="2255" t="s">
        <v>33</v>
      </c>
      <c r="G14" s="2256"/>
      <c r="H14" s="714" t="s">
        <v>84</v>
      </c>
      <c r="I14" s="715" t="s">
        <v>84</v>
      </c>
      <c r="J14" s="716" t="s">
        <v>84</v>
      </c>
      <c r="K14" s="714" t="s">
        <v>84</v>
      </c>
      <c r="L14" s="715" t="s">
        <v>84</v>
      </c>
      <c r="M14" s="716" t="s">
        <v>84</v>
      </c>
      <c r="N14" s="714" t="s">
        <v>84</v>
      </c>
      <c r="O14" s="715" t="s">
        <v>84</v>
      </c>
      <c r="P14" s="716" t="s">
        <v>84</v>
      </c>
      <c r="Q14" s="714" t="s">
        <v>84</v>
      </c>
      <c r="R14" s="715" t="s">
        <v>84</v>
      </c>
      <c r="S14" s="716" t="s">
        <v>84</v>
      </c>
      <c r="T14" s="714" t="s">
        <v>84</v>
      </c>
      <c r="U14" s="715" t="s">
        <v>84</v>
      </c>
      <c r="V14" s="716" t="s">
        <v>84</v>
      </c>
      <c r="W14" s="714" t="s">
        <v>84</v>
      </c>
      <c r="X14" s="715" t="s">
        <v>84</v>
      </c>
      <c r="Y14" s="716" t="s">
        <v>84</v>
      </c>
      <c r="Z14" s="714" t="s">
        <v>84</v>
      </c>
      <c r="AA14" s="715" t="s">
        <v>84</v>
      </c>
      <c r="AB14" s="716" t="s">
        <v>84</v>
      </c>
      <c r="AC14" s="714" t="s">
        <v>84</v>
      </c>
      <c r="AD14" s="715" t="s">
        <v>84</v>
      </c>
      <c r="AE14" s="716" t="s">
        <v>84</v>
      </c>
      <c r="AF14" s="714" t="s">
        <v>84</v>
      </c>
      <c r="AG14" s="715" t="s">
        <v>84</v>
      </c>
      <c r="AH14" s="716" t="s">
        <v>84</v>
      </c>
      <c r="AI14" s="714" t="s">
        <v>84</v>
      </c>
      <c r="AJ14" s="715" t="s">
        <v>84</v>
      </c>
      <c r="AK14" s="716" t="s">
        <v>84</v>
      </c>
      <c r="AL14" s="714" t="s">
        <v>84</v>
      </c>
      <c r="AM14" s="715" t="s">
        <v>84</v>
      </c>
      <c r="AN14" s="716" t="s">
        <v>84</v>
      </c>
      <c r="AO14" s="714" t="s">
        <v>84</v>
      </c>
      <c r="AP14" s="715" t="s">
        <v>84</v>
      </c>
      <c r="AQ14" s="716" t="s">
        <v>84</v>
      </c>
      <c r="AR14" s="714" t="s">
        <v>84</v>
      </c>
      <c r="AS14" s="715" t="s">
        <v>84</v>
      </c>
      <c r="AT14" s="716" t="s">
        <v>84</v>
      </c>
      <c r="AU14" s="714" t="s">
        <v>84</v>
      </c>
      <c r="AV14" s="715" t="s">
        <v>84</v>
      </c>
      <c r="AW14" s="716" t="s">
        <v>84</v>
      </c>
      <c r="AX14" s="714" t="s">
        <v>84</v>
      </c>
      <c r="AY14" s="715" t="s">
        <v>84</v>
      </c>
      <c r="AZ14" s="716" t="s">
        <v>84</v>
      </c>
      <c r="BA14" s="714" t="s">
        <v>84</v>
      </c>
      <c r="BB14" s="715" t="s">
        <v>84</v>
      </c>
      <c r="BC14" s="716" t="s">
        <v>84</v>
      </c>
      <c r="BD14" s="714" t="s">
        <v>84</v>
      </c>
      <c r="BE14" s="715" t="s">
        <v>84</v>
      </c>
      <c r="BF14" s="716" t="s">
        <v>84</v>
      </c>
      <c r="BG14" s="714" t="s">
        <v>84</v>
      </c>
      <c r="BH14" s="715" t="s">
        <v>84</v>
      </c>
      <c r="BI14" s="716" t="s">
        <v>84</v>
      </c>
      <c r="BJ14" s="714" t="s">
        <v>84</v>
      </c>
      <c r="BK14" s="715" t="s">
        <v>84</v>
      </c>
      <c r="BL14" s="716" t="s">
        <v>84</v>
      </c>
      <c r="BM14" s="714" t="s">
        <v>84</v>
      </c>
      <c r="BN14" s="715" t="s">
        <v>84</v>
      </c>
      <c r="BO14" s="716" t="s">
        <v>84</v>
      </c>
      <c r="BP14" s="714" t="s">
        <v>84</v>
      </c>
      <c r="BQ14" s="715" t="s">
        <v>84</v>
      </c>
      <c r="BR14" s="716" t="s">
        <v>84</v>
      </c>
      <c r="BS14" s="714" t="s">
        <v>84</v>
      </c>
      <c r="BT14" s="715" t="s">
        <v>84</v>
      </c>
      <c r="BU14" s="716" t="s">
        <v>84</v>
      </c>
      <c r="BV14" s="714" t="s">
        <v>84</v>
      </c>
      <c r="BW14" s="715" t="s">
        <v>84</v>
      </c>
      <c r="BX14" s="716" t="s">
        <v>84</v>
      </c>
      <c r="BY14" s="714" t="s">
        <v>84</v>
      </c>
      <c r="BZ14" s="715" t="s">
        <v>84</v>
      </c>
      <c r="CA14" s="716" t="s">
        <v>84</v>
      </c>
      <c r="CB14" s="806"/>
    </row>
    <row r="15" spans="1:83" x14ac:dyDescent="0.2">
      <c r="A15" s="2251"/>
      <c r="B15" s="2252"/>
      <c r="C15" s="2247"/>
      <c r="D15" s="2251"/>
      <c r="E15" s="2252"/>
      <c r="F15" s="2257" t="s">
        <v>34</v>
      </c>
      <c r="G15" s="2258"/>
      <c r="H15" s="518">
        <f>ROUND(SQRT(I15^2+J15^2)*1000/(SQRT(3)*I18),2)</f>
        <v>9.01</v>
      </c>
      <c r="I15" s="815">
        <f>(I32+I33)+I23</f>
        <v>0.15572000000000003</v>
      </c>
      <c r="J15" s="815">
        <f>(J32+J33)+J23</f>
        <v>2.4368000000000001E-2</v>
      </c>
      <c r="K15" s="518">
        <f>ROUND(SQRT(L15^2+M15^2)*1000/(SQRT(3)*L18),2)</f>
        <v>8.98</v>
      </c>
      <c r="L15" s="815">
        <f>(L32+L33)+L23</f>
        <v>0.155392</v>
      </c>
      <c r="M15" s="815">
        <f>(M32+M33)+M23</f>
        <v>2.3344E-2</v>
      </c>
      <c r="N15" s="518">
        <f>ROUND(SQRT(O15^2+P15^2)*1000/(SQRT(3)*O18),2)</f>
        <v>8.9700000000000006</v>
      </c>
      <c r="O15" s="815">
        <f>(O32+O33)+O23</f>
        <v>0.15506399999999998</v>
      </c>
      <c r="P15" s="815">
        <f>(P32+P33)+P23</f>
        <v>2.4119999999999999E-2</v>
      </c>
      <c r="Q15" s="518">
        <f>ROUND(SQRT(R15^2+S15^2)*1000/(SQRT(3)*R18),2)</f>
        <v>8.9700000000000006</v>
      </c>
      <c r="R15" s="815">
        <f>(R32+R33)+R23</f>
        <v>0.15501599999999999</v>
      </c>
      <c r="S15" s="815">
        <f>(S32+S33)+S23</f>
        <v>2.4719999999999999E-2</v>
      </c>
      <c r="T15" s="518">
        <f>ROUND(SQRT(U15^2+V15^2)*1000/(SQRT(3)*U18),2)</f>
        <v>9.08</v>
      </c>
      <c r="U15" s="815">
        <f>(U32+U33)+U23</f>
        <v>0.15699199999999999</v>
      </c>
      <c r="V15" s="815">
        <f>(V32+V33)+V23</f>
        <v>2.3968000000000003E-2</v>
      </c>
      <c r="W15" s="518">
        <f>ROUND(SQRT(X15^2+Y15^2)*1000/(SQRT(3)*X18),2)</f>
        <v>9.4499999999999993</v>
      </c>
      <c r="X15" s="815">
        <f>(X32+X33)+X23</f>
        <v>0.16360799999999998</v>
      </c>
      <c r="Y15" s="815">
        <f>(Y32+Y33)+Y23</f>
        <v>2.4119999999999999E-2</v>
      </c>
      <c r="Z15" s="518">
        <f>ROUND(SQRT(AA15^2+AB15^2)*1000/(SQRT(3)*AA18),2)</f>
        <v>10.25</v>
      </c>
      <c r="AA15" s="815">
        <f>(AA32+AA33)+AA23</f>
        <v>0.17765599999999998</v>
      </c>
      <c r="AB15" s="815">
        <f>(AB32+AB33)+AB23</f>
        <v>2.3792000000000004E-2</v>
      </c>
      <c r="AC15" s="518">
        <f>ROUND(SQRT(AD15^2+AE15^2)*1000/(SQRT(3)*AD18),2)</f>
        <v>10.82</v>
      </c>
      <c r="AD15" s="815">
        <f>(AD32+AD33)+AD23</f>
        <v>0.18778400000000001</v>
      </c>
      <c r="AE15" s="815">
        <f>(AE32+AE33)+AE23</f>
        <v>2.3639999999999998E-2</v>
      </c>
      <c r="AF15" s="518">
        <f>ROUND(SQRT(AG15^2+AH15^2)*1000/(SQRT(3)*AG18),2)</f>
        <v>11.31</v>
      </c>
      <c r="AG15" s="815">
        <f>(AG32+AG33)+AG23</f>
        <v>0.19633599999999998</v>
      </c>
      <c r="AH15" s="815">
        <f>(AH32+AH33)+AH23</f>
        <v>2.4615999999999999E-2</v>
      </c>
      <c r="AI15" s="518">
        <f>ROUND(SQRT(AJ15^2+AK15^2)*1000/(SQRT(3)*AJ18),2)</f>
        <v>11.93</v>
      </c>
      <c r="AJ15" s="815">
        <f>(AJ32+AJ33)+AJ23</f>
        <v>0.20621599999999998</v>
      </c>
      <c r="AK15" s="815">
        <f>(AK32+AK33)+AK23</f>
        <v>3.2039999999999992E-2</v>
      </c>
      <c r="AL15" s="518">
        <f>ROUND(SQRT(AM15^2+AN15^2)*1000/(SQRT(3)*AM18),2)</f>
        <v>12.07</v>
      </c>
      <c r="AM15" s="815">
        <f>(AM32+AM33)+AM23</f>
        <v>0.207672</v>
      </c>
      <c r="AN15" s="815">
        <f>(AN32+AN33)+AN23</f>
        <v>3.7783999999999998E-2</v>
      </c>
      <c r="AO15" s="518">
        <f>ROUND(SQRT(AP15^2+AQ15^2)*1000/(SQRT(3)*AP18),2)</f>
        <v>11.67</v>
      </c>
      <c r="AP15" s="815">
        <f>(AP32+AP33)+AP23</f>
        <v>0.201016</v>
      </c>
      <c r="AQ15" s="815">
        <f>(AQ32+AQ33)+AQ23</f>
        <v>3.6024E-2</v>
      </c>
      <c r="AR15" s="518">
        <f>ROUND(SQRT(AS15^2+AT15^2)*1000/(SQRT(3)*AS18),2)</f>
        <v>11.52</v>
      </c>
      <c r="AS15" s="815">
        <f>(AS32+AS33)+AS23</f>
        <v>0.19800000000000001</v>
      </c>
      <c r="AT15" s="815">
        <f>(AT32+AT33)+AT23</f>
        <v>3.7295999999999996E-2</v>
      </c>
      <c r="AU15" s="518">
        <f>ROUND(SQRT(AV15^2+AW15^2)*1000/(SQRT(3)*AV18),2)</f>
        <v>11.26</v>
      </c>
      <c r="AV15" s="815">
        <f>(AV32+AV33)+AV23</f>
        <v>0.193272</v>
      </c>
      <c r="AW15" s="815">
        <f>(AW32+AW33)+AW23</f>
        <v>3.8295999999999997E-2</v>
      </c>
      <c r="AX15" s="518">
        <f>ROUND(SQRT(AY15^2+AZ15^2)*1000/(SQRT(3)*AY18),2)</f>
        <v>10.97</v>
      </c>
      <c r="AY15" s="815">
        <f>(AY32+AY33)+AY23</f>
        <v>0.18892799999999998</v>
      </c>
      <c r="AZ15" s="815">
        <f>(AZ32+AZ33)+AZ23</f>
        <v>3.3591999999999997E-2</v>
      </c>
      <c r="BA15" s="518">
        <f>ROUND(SQRT(BB15^2+BC15^2)*1000/(SQRT(3)*BB18),2)</f>
        <v>10.45</v>
      </c>
      <c r="BB15" s="815">
        <f>(BB32+BB33)+BB23</f>
        <v>0.181232</v>
      </c>
      <c r="BC15" s="815">
        <f>(BC32+BC33)+BC23</f>
        <v>2.4215999999999998E-2</v>
      </c>
      <c r="BD15" s="518">
        <f>ROUND(SQRT(BE15^2+BF15^2)*1000/(SQRT(3)*BE18),2)</f>
        <v>10.94</v>
      </c>
      <c r="BE15" s="815">
        <f>(BE32+BE33)+BE23</f>
        <v>0.189944</v>
      </c>
      <c r="BF15" s="815">
        <f>(BF32+BF33)+BF23</f>
        <v>2.3440000000000003E-2</v>
      </c>
      <c r="BG15" s="518">
        <f>ROUND(SQRT(BH15^2+BI15^2)*1000/(SQRT(3)*BH18),2)</f>
        <v>10.9</v>
      </c>
      <c r="BH15" s="815">
        <f>(BH32+BH33)+BH23</f>
        <v>0.18921599999999997</v>
      </c>
      <c r="BI15" s="815">
        <f>(BI32+BI33)+BI23</f>
        <v>2.4160000000000001E-2</v>
      </c>
      <c r="BJ15" s="518">
        <f>ROUND(SQRT(BK15^2+BL15^2)*1000/(SQRT(3)*BK18),2)</f>
        <v>10.14</v>
      </c>
      <c r="BK15" s="815">
        <f>(BK32+BK33)+BK23</f>
        <v>0.17596799999999999</v>
      </c>
      <c r="BL15" s="815">
        <f>(BL32+BL33)+BL23</f>
        <v>2.2023999999999998E-2</v>
      </c>
      <c r="BM15" s="518">
        <f>ROUND(SQRT(BN15^2+BO15^2)*1000/(SQRT(3)*BN18),2)</f>
        <v>10.029999999999999</v>
      </c>
      <c r="BN15" s="815">
        <f>(BN32+BN33)+BN23</f>
        <v>0.17399999999999999</v>
      </c>
      <c r="BO15" s="815">
        <f>(BO32+BO33)+BO23</f>
        <v>2.2648000000000001E-2</v>
      </c>
      <c r="BP15" s="518">
        <f>ROUND(SQRT(BQ15^2+BR15^2)*1000/(SQRT(3)*BQ18),2)</f>
        <v>9.8699999999999992</v>
      </c>
      <c r="BQ15" s="815">
        <f>(BQ32+BQ33)+BQ23</f>
        <v>0.17116799999999999</v>
      </c>
      <c r="BR15" s="815">
        <f>(BR32+BR33)+BR23</f>
        <v>2.3216000000000001E-2</v>
      </c>
      <c r="BS15" s="518">
        <f>ROUND(SQRT(BT15^2+BU15^2)*1000/(SQRT(3)*BT18),2)</f>
        <v>9.5299999999999994</v>
      </c>
      <c r="BT15" s="815">
        <f>(BT32+BT33)+BT23</f>
        <v>0.16525599999999999</v>
      </c>
      <c r="BU15" s="815">
        <f>(BU32+BU33)+BU23</f>
        <v>2.2192E-2</v>
      </c>
      <c r="BV15" s="518">
        <f>ROUND(SQRT(BW15^2+BX15^2)*1000/(SQRT(3)*BW18),2)</f>
        <v>9.09</v>
      </c>
      <c r="BW15" s="815">
        <f>(BW32+BW33)+BW23</f>
        <v>0.157168</v>
      </c>
      <c r="BX15" s="815">
        <f>(BX32+BX33)+BX23</f>
        <v>2.4064000000000002E-2</v>
      </c>
      <c r="BY15" s="518">
        <f>ROUND(SQRT(BZ15^2+CA15^2)*1000/(SQRT(3)*BZ18),2)</f>
        <v>8.74</v>
      </c>
      <c r="BZ15" s="815">
        <f>(BZ32+BZ33)+BZ23</f>
        <v>0.150864</v>
      </c>
      <c r="CA15" s="815">
        <f>(CA32+CA33)+CA23</f>
        <v>2.4392E-2</v>
      </c>
      <c r="CB15" s="717">
        <f>SUM(BZ15,BW15,BT15,BQ15,BN15,BK15,BH15,BE15,BB15,AY15,AV15,AS15,AP15,AM15,AJ15,AG15,AD15,AA15,X15,U15,R15,O15,L15,I15)</f>
        <v>4.253487999999999</v>
      </c>
      <c r="CC15" s="618">
        <f>SUM(CA15,BX15,BU15,BR15,BO15,BL15,BI15,BF15,BC15,AZ15,AW15,AT15,AQ15,AN15,AK15,AH15,AE15,AB15,Y15,V15,S15,P15,M15,J15)</f>
        <v>0.64207199999999998</v>
      </c>
      <c r="CD15" s="529"/>
    </row>
    <row r="16" spans="1:83" ht="13.5" thickBot="1" x14ac:dyDescent="0.25">
      <c r="A16" s="2251"/>
      <c r="B16" s="2252"/>
      <c r="C16" s="2247"/>
      <c r="D16" s="2253"/>
      <c r="E16" s="2254"/>
      <c r="F16" s="2259"/>
      <c r="G16" s="2260"/>
      <c r="H16" s="718" t="s">
        <v>84</v>
      </c>
      <c r="I16" s="719" t="s">
        <v>84</v>
      </c>
      <c r="J16" s="720" t="s">
        <v>84</v>
      </c>
      <c r="K16" s="718" t="s">
        <v>84</v>
      </c>
      <c r="L16" s="719" t="s">
        <v>84</v>
      </c>
      <c r="M16" s="720" t="s">
        <v>84</v>
      </c>
      <c r="N16" s="718" t="s">
        <v>84</v>
      </c>
      <c r="O16" s="719" t="s">
        <v>84</v>
      </c>
      <c r="P16" s="720" t="s">
        <v>84</v>
      </c>
      <c r="Q16" s="718" t="s">
        <v>84</v>
      </c>
      <c r="R16" s="719" t="s">
        <v>84</v>
      </c>
      <c r="S16" s="720" t="s">
        <v>84</v>
      </c>
      <c r="T16" s="718" t="s">
        <v>84</v>
      </c>
      <c r="U16" s="719" t="s">
        <v>84</v>
      </c>
      <c r="V16" s="720" t="s">
        <v>84</v>
      </c>
      <c r="W16" s="718" t="s">
        <v>84</v>
      </c>
      <c r="X16" s="719" t="s">
        <v>84</v>
      </c>
      <c r="Y16" s="720" t="s">
        <v>84</v>
      </c>
      <c r="Z16" s="718" t="s">
        <v>84</v>
      </c>
      <c r="AA16" s="719" t="s">
        <v>84</v>
      </c>
      <c r="AB16" s="720" t="s">
        <v>84</v>
      </c>
      <c r="AC16" s="718" t="s">
        <v>84</v>
      </c>
      <c r="AD16" s="719" t="s">
        <v>84</v>
      </c>
      <c r="AE16" s="720" t="s">
        <v>84</v>
      </c>
      <c r="AF16" s="718" t="s">
        <v>84</v>
      </c>
      <c r="AG16" s="719" t="s">
        <v>84</v>
      </c>
      <c r="AH16" s="720" t="s">
        <v>84</v>
      </c>
      <c r="AI16" s="718" t="s">
        <v>84</v>
      </c>
      <c r="AJ16" s="719" t="s">
        <v>84</v>
      </c>
      <c r="AK16" s="720" t="s">
        <v>84</v>
      </c>
      <c r="AL16" s="718" t="s">
        <v>84</v>
      </c>
      <c r="AM16" s="719" t="s">
        <v>84</v>
      </c>
      <c r="AN16" s="720" t="s">
        <v>84</v>
      </c>
      <c r="AO16" s="718" t="s">
        <v>84</v>
      </c>
      <c r="AP16" s="719" t="s">
        <v>84</v>
      </c>
      <c r="AQ16" s="720" t="s">
        <v>84</v>
      </c>
      <c r="AR16" s="718" t="s">
        <v>84</v>
      </c>
      <c r="AS16" s="719" t="s">
        <v>84</v>
      </c>
      <c r="AT16" s="720" t="s">
        <v>84</v>
      </c>
      <c r="AU16" s="718" t="s">
        <v>84</v>
      </c>
      <c r="AV16" s="719" t="s">
        <v>84</v>
      </c>
      <c r="AW16" s="720" t="s">
        <v>84</v>
      </c>
      <c r="AX16" s="718" t="s">
        <v>84</v>
      </c>
      <c r="AY16" s="719" t="s">
        <v>84</v>
      </c>
      <c r="AZ16" s="720" t="s">
        <v>84</v>
      </c>
      <c r="BA16" s="718" t="s">
        <v>84</v>
      </c>
      <c r="BB16" s="719" t="s">
        <v>84</v>
      </c>
      <c r="BC16" s="720" t="s">
        <v>84</v>
      </c>
      <c r="BD16" s="718" t="s">
        <v>84</v>
      </c>
      <c r="BE16" s="719" t="s">
        <v>84</v>
      </c>
      <c r="BF16" s="720" t="s">
        <v>84</v>
      </c>
      <c r="BG16" s="718" t="s">
        <v>84</v>
      </c>
      <c r="BH16" s="719" t="s">
        <v>84</v>
      </c>
      <c r="BI16" s="720" t="s">
        <v>84</v>
      </c>
      <c r="BJ16" s="718" t="s">
        <v>84</v>
      </c>
      <c r="BK16" s="719" t="s">
        <v>84</v>
      </c>
      <c r="BL16" s="720" t="s">
        <v>84</v>
      </c>
      <c r="BM16" s="718" t="s">
        <v>84</v>
      </c>
      <c r="BN16" s="719" t="s">
        <v>84</v>
      </c>
      <c r="BO16" s="720" t="s">
        <v>84</v>
      </c>
      <c r="BP16" s="718" t="s">
        <v>84</v>
      </c>
      <c r="BQ16" s="719" t="s">
        <v>84</v>
      </c>
      <c r="BR16" s="720" t="s">
        <v>84</v>
      </c>
      <c r="BS16" s="718" t="s">
        <v>84</v>
      </c>
      <c r="BT16" s="719" t="s">
        <v>84</v>
      </c>
      <c r="BU16" s="720" t="s">
        <v>84</v>
      </c>
      <c r="BV16" s="718" t="s">
        <v>84</v>
      </c>
      <c r="BW16" s="719" t="s">
        <v>84</v>
      </c>
      <c r="BX16" s="720" t="s">
        <v>84</v>
      </c>
      <c r="BY16" s="718" t="s">
        <v>84</v>
      </c>
      <c r="BZ16" s="719" t="s">
        <v>84</v>
      </c>
      <c r="CA16" s="720" t="s">
        <v>84</v>
      </c>
      <c r="CB16" s="806"/>
    </row>
    <row r="17" spans="1:84" s="807" customFormat="1" x14ac:dyDescent="0.2">
      <c r="A17" s="2251"/>
      <c r="B17" s="2252"/>
      <c r="C17" s="2247"/>
      <c r="D17" s="2249" t="s">
        <v>14</v>
      </c>
      <c r="E17" s="2250"/>
      <c r="F17" s="2349" t="s">
        <v>33</v>
      </c>
      <c r="G17" s="2350"/>
      <c r="H17" s="803"/>
      <c r="I17" s="804">
        <v>115</v>
      </c>
      <c r="J17" s="805"/>
      <c r="K17" s="803"/>
      <c r="L17" s="804">
        <v>115</v>
      </c>
      <c r="M17" s="805"/>
      <c r="N17" s="803"/>
      <c r="O17" s="804">
        <v>115</v>
      </c>
      <c r="P17" s="805"/>
      <c r="Q17" s="803"/>
      <c r="R17" s="804">
        <v>115</v>
      </c>
      <c r="S17" s="805"/>
      <c r="T17" s="803"/>
      <c r="U17" s="804">
        <v>115</v>
      </c>
      <c r="V17" s="805"/>
      <c r="W17" s="803"/>
      <c r="X17" s="804">
        <v>115</v>
      </c>
      <c r="Y17" s="805"/>
      <c r="Z17" s="803"/>
      <c r="AA17" s="804">
        <v>115</v>
      </c>
      <c r="AB17" s="805"/>
      <c r="AC17" s="803"/>
      <c r="AD17" s="804">
        <v>115</v>
      </c>
      <c r="AE17" s="805"/>
      <c r="AF17" s="803"/>
      <c r="AG17" s="804">
        <v>115</v>
      </c>
      <c r="AH17" s="805"/>
      <c r="AI17" s="803"/>
      <c r="AJ17" s="804">
        <v>115</v>
      </c>
      <c r="AK17" s="805"/>
      <c r="AL17" s="803"/>
      <c r="AM17" s="804">
        <v>115</v>
      </c>
      <c r="AN17" s="805"/>
      <c r="AO17" s="803"/>
      <c r="AP17" s="804">
        <v>115</v>
      </c>
      <c r="AQ17" s="805"/>
      <c r="AR17" s="803"/>
      <c r="AS17" s="804">
        <v>115</v>
      </c>
      <c r="AT17" s="805"/>
      <c r="AU17" s="803"/>
      <c r="AV17" s="804">
        <v>115</v>
      </c>
      <c r="AW17" s="805"/>
      <c r="AX17" s="803"/>
      <c r="AY17" s="804">
        <v>115</v>
      </c>
      <c r="AZ17" s="805"/>
      <c r="BA17" s="803"/>
      <c r="BB17" s="804">
        <v>115</v>
      </c>
      <c r="BC17" s="805"/>
      <c r="BD17" s="803"/>
      <c r="BE17" s="804">
        <v>115</v>
      </c>
      <c r="BF17" s="805"/>
      <c r="BG17" s="803"/>
      <c r="BH17" s="804">
        <v>115</v>
      </c>
      <c r="BI17" s="805"/>
      <c r="BJ17" s="803"/>
      <c r="BK17" s="804">
        <v>115</v>
      </c>
      <c r="BL17" s="805"/>
      <c r="BM17" s="803"/>
      <c r="BN17" s="804">
        <v>115</v>
      </c>
      <c r="BO17" s="805"/>
      <c r="BP17" s="803"/>
      <c r="BQ17" s="804">
        <v>115</v>
      </c>
      <c r="BR17" s="805"/>
      <c r="BS17" s="803"/>
      <c r="BT17" s="804">
        <v>115</v>
      </c>
      <c r="BU17" s="805"/>
      <c r="BV17" s="803"/>
      <c r="BW17" s="804">
        <v>115</v>
      </c>
      <c r="BX17" s="805"/>
      <c r="BY17" s="803"/>
      <c r="BZ17" s="804">
        <v>115</v>
      </c>
      <c r="CA17" s="805"/>
      <c r="CB17" s="806"/>
    </row>
    <row r="18" spans="1:84" s="807" customFormat="1" x14ac:dyDescent="0.2">
      <c r="A18" s="2251"/>
      <c r="B18" s="2252"/>
      <c r="C18" s="2247"/>
      <c r="D18" s="2251"/>
      <c r="E18" s="2252"/>
      <c r="F18" s="2351" t="s">
        <v>34</v>
      </c>
      <c r="G18" s="2352"/>
      <c r="H18" s="808"/>
      <c r="I18" s="809">
        <v>10.1</v>
      </c>
      <c r="J18" s="810"/>
      <c r="K18" s="808"/>
      <c r="L18" s="809">
        <v>10.1</v>
      </c>
      <c r="M18" s="810"/>
      <c r="N18" s="808"/>
      <c r="O18" s="809">
        <v>10.1</v>
      </c>
      <c r="P18" s="810"/>
      <c r="Q18" s="808"/>
      <c r="R18" s="809">
        <v>10.1</v>
      </c>
      <c r="S18" s="810"/>
      <c r="T18" s="808"/>
      <c r="U18" s="809">
        <v>10.1</v>
      </c>
      <c r="V18" s="810"/>
      <c r="W18" s="808"/>
      <c r="X18" s="809">
        <v>10.1</v>
      </c>
      <c r="Y18" s="810"/>
      <c r="Z18" s="808"/>
      <c r="AA18" s="809">
        <v>10.1</v>
      </c>
      <c r="AB18" s="810"/>
      <c r="AC18" s="808"/>
      <c r="AD18" s="809">
        <v>10.1</v>
      </c>
      <c r="AE18" s="810"/>
      <c r="AF18" s="808"/>
      <c r="AG18" s="809">
        <v>10.1</v>
      </c>
      <c r="AH18" s="810"/>
      <c r="AI18" s="808"/>
      <c r="AJ18" s="809">
        <v>10.1</v>
      </c>
      <c r="AK18" s="810"/>
      <c r="AL18" s="808"/>
      <c r="AM18" s="809">
        <v>10.1</v>
      </c>
      <c r="AN18" s="810"/>
      <c r="AO18" s="808"/>
      <c r="AP18" s="809">
        <v>10.1</v>
      </c>
      <c r="AQ18" s="810"/>
      <c r="AR18" s="808"/>
      <c r="AS18" s="809">
        <v>10.1</v>
      </c>
      <c r="AT18" s="810"/>
      <c r="AU18" s="808"/>
      <c r="AV18" s="809">
        <v>10.1</v>
      </c>
      <c r="AW18" s="810"/>
      <c r="AX18" s="808"/>
      <c r="AY18" s="809">
        <v>10.1</v>
      </c>
      <c r="AZ18" s="810"/>
      <c r="BA18" s="808"/>
      <c r="BB18" s="809">
        <v>10.1</v>
      </c>
      <c r="BC18" s="810"/>
      <c r="BD18" s="808"/>
      <c r="BE18" s="809">
        <v>10.1</v>
      </c>
      <c r="BF18" s="810"/>
      <c r="BG18" s="808"/>
      <c r="BH18" s="809">
        <v>10.1</v>
      </c>
      <c r="BI18" s="810"/>
      <c r="BJ18" s="808"/>
      <c r="BK18" s="809">
        <v>10.1</v>
      </c>
      <c r="BL18" s="810"/>
      <c r="BM18" s="808"/>
      <c r="BN18" s="809">
        <v>10.1</v>
      </c>
      <c r="BO18" s="810"/>
      <c r="BP18" s="808"/>
      <c r="BQ18" s="809">
        <v>10.1</v>
      </c>
      <c r="BR18" s="810"/>
      <c r="BS18" s="808"/>
      <c r="BT18" s="809">
        <v>10.1</v>
      </c>
      <c r="BU18" s="810"/>
      <c r="BV18" s="808"/>
      <c r="BW18" s="809">
        <v>10.1</v>
      </c>
      <c r="BX18" s="810"/>
      <c r="BY18" s="808"/>
      <c r="BZ18" s="809">
        <v>10.1</v>
      </c>
      <c r="CA18" s="810"/>
      <c r="CB18" s="806"/>
    </row>
    <row r="19" spans="1:84" ht="13.5" thickBot="1" x14ac:dyDescent="0.25">
      <c r="A19" s="2251"/>
      <c r="B19" s="2252"/>
      <c r="C19" s="2247"/>
      <c r="D19" s="2253"/>
      <c r="E19" s="2254"/>
      <c r="F19" s="2259"/>
      <c r="G19" s="2260"/>
      <c r="H19" s="811"/>
      <c r="I19" s="522" t="s">
        <v>84</v>
      </c>
      <c r="J19" s="526"/>
      <c r="K19" s="811"/>
      <c r="L19" s="522" t="s">
        <v>84</v>
      </c>
      <c r="M19" s="526"/>
      <c r="N19" s="811"/>
      <c r="O19" s="522" t="s">
        <v>84</v>
      </c>
      <c r="P19" s="526"/>
      <c r="Q19" s="811"/>
      <c r="R19" s="522" t="s">
        <v>84</v>
      </c>
      <c r="S19" s="526"/>
      <c r="T19" s="811"/>
      <c r="U19" s="522" t="s">
        <v>84</v>
      </c>
      <c r="V19" s="526"/>
      <c r="W19" s="811"/>
      <c r="X19" s="522" t="s">
        <v>84</v>
      </c>
      <c r="Y19" s="526"/>
      <c r="Z19" s="811"/>
      <c r="AA19" s="522" t="s">
        <v>84</v>
      </c>
      <c r="AB19" s="526"/>
      <c r="AC19" s="811"/>
      <c r="AD19" s="522" t="s">
        <v>84</v>
      </c>
      <c r="AE19" s="526"/>
      <c r="AF19" s="811"/>
      <c r="AG19" s="522" t="s">
        <v>84</v>
      </c>
      <c r="AH19" s="526"/>
      <c r="AI19" s="811"/>
      <c r="AJ19" s="522" t="s">
        <v>84</v>
      </c>
      <c r="AK19" s="526"/>
      <c r="AL19" s="811"/>
      <c r="AM19" s="522" t="s">
        <v>84</v>
      </c>
      <c r="AN19" s="526"/>
      <c r="AO19" s="811"/>
      <c r="AP19" s="522" t="s">
        <v>84</v>
      </c>
      <c r="AQ19" s="526"/>
      <c r="AR19" s="811"/>
      <c r="AS19" s="522" t="s">
        <v>84</v>
      </c>
      <c r="AT19" s="526"/>
      <c r="AU19" s="811"/>
      <c r="AV19" s="522" t="s">
        <v>84</v>
      </c>
      <c r="AW19" s="526"/>
      <c r="AX19" s="811"/>
      <c r="AY19" s="522" t="s">
        <v>84</v>
      </c>
      <c r="AZ19" s="526"/>
      <c r="BA19" s="811"/>
      <c r="BB19" s="522" t="s">
        <v>84</v>
      </c>
      <c r="BC19" s="526"/>
      <c r="BD19" s="811"/>
      <c r="BE19" s="522" t="s">
        <v>84</v>
      </c>
      <c r="BF19" s="526"/>
      <c r="BG19" s="811"/>
      <c r="BH19" s="522" t="s">
        <v>84</v>
      </c>
      <c r="BI19" s="526"/>
      <c r="BJ19" s="811"/>
      <c r="BK19" s="522" t="s">
        <v>84</v>
      </c>
      <c r="BL19" s="526"/>
      <c r="BM19" s="811"/>
      <c r="BN19" s="522" t="s">
        <v>84</v>
      </c>
      <c r="BO19" s="526"/>
      <c r="BP19" s="811"/>
      <c r="BQ19" s="522" t="s">
        <v>84</v>
      </c>
      <c r="BR19" s="526"/>
      <c r="BS19" s="811"/>
      <c r="BT19" s="522" t="s">
        <v>84</v>
      </c>
      <c r="BU19" s="526"/>
      <c r="BV19" s="811"/>
      <c r="BW19" s="522" t="s">
        <v>84</v>
      </c>
      <c r="BX19" s="526"/>
      <c r="BY19" s="811"/>
      <c r="BZ19" s="522" t="s">
        <v>84</v>
      </c>
      <c r="CA19" s="526"/>
      <c r="CB19" s="806"/>
    </row>
    <row r="20" spans="1:84" ht="13.5" thickBot="1" x14ac:dyDescent="0.25">
      <c r="A20" s="2253"/>
      <c r="B20" s="2254"/>
      <c r="C20" s="2248"/>
      <c r="D20" s="2261" t="s">
        <v>39</v>
      </c>
      <c r="E20" s="2262"/>
      <c r="F20" s="2262"/>
      <c r="G20" s="2263"/>
      <c r="H20" s="812"/>
      <c r="I20" s="813">
        <v>21</v>
      </c>
      <c r="J20" s="814"/>
      <c r="K20" s="812"/>
      <c r="L20" s="813">
        <v>21</v>
      </c>
      <c r="M20" s="814"/>
      <c r="N20" s="812"/>
      <c r="O20" s="813">
        <v>21</v>
      </c>
      <c r="P20" s="814"/>
      <c r="Q20" s="812"/>
      <c r="R20" s="813">
        <v>21</v>
      </c>
      <c r="S20" s="814"/>
      <c r="T20" s="812"/>
      <c r="U20" s="813">
        <v>21</v>
      </c>
      <c r="V20" s="814"/>
      <c r="W20" s="812"/>
      <c r="X20" s="813">
        <v>21</v>
      </c>
      <c r="Y20" s="814"/>
      <c r="Z20" s="812"/>
      <c r="AA20" s="813">
        <v>21</v>
      </c>
      <c r="AB20" s="814"/>
      <c r="AC20" s="812"/>
      <c r="AD20" s="813">
        <v>21</v>
      </c>
      <c r="AE20" s="814"/>
      <c r="AF20" s="812"/>
      <c r="AG20" s="813">
        <v>21</v>
      </c>
      <c r="AH20" s="814"/>
      <c r="AI20" s="812"/>
      <c r="AJ20" s="813">
        <v>21</v>
      </c>
      <c r="AK20" s="814"/>
      <c r="AL20" s="812"/>
      <c r="AM20" s="813">
        <v>21</v>
      </c>
      <c r="AN20" s="814"/>
      <c r="AO20" s="812"/>
      <c r="AP20" s="813">
        <v>21</v>
      </c>
      <c r="AQ20" s="814"/>
      <c r="AR20" s="812"/>
      <c r="AS20" s="813">
        <v>21</v>
      </c>
      <c r="AT20" s="814"/>
      <c r="AU20" s="812"/>
      <c r="AV20" s="813">
        <v>21</v>
      </c>
      <c r="AW20" s="814"/>
      <c r="AX20" s="812"/>
      <c r="AY20" s="813">
        <v>21</v>
      </c>
      <c r="AZ20" s="814"/>
      <c r="BA20" s="812"/>
      <c r="BB20" s="813">
        <v>21</v>
      </c>
      <c r="BC20" s="814"/>
      <c r="BD20" s="812"/>
      <c r="BE20" s="813">
        <v>21</v>
      </c>
      <c r="BF20" s="814"/>
      <c r="BG20" s="812"/>
      <c r="BH20" s="813">
        <v>21</v>
      </c>
      <c r="BI20" s="814"/>
      <c r="BJ20" s="812"/>
      <c r="BK20" s="813">
        <v>21</v>
      </c>
      <c r="BL20" s="814"/>
      <c r="BM20" s="812"/>
      <c r="BN20" s="813">
        <v>21</v>
      </c>
      <c r="BO20" s="814"/>
      <c r="BP20" s="812"/>
      <c r="BQ20" s="813">
        <v>21</v>
      </c>
      <c r="BR20" s="814"/>
      <c r="BS20" s="812"/>
      <c r="BT20" s="813">
        <v>21</v>
      </c>
      <c r="BU20" s="814"/>
      <c r="BV20" s="812"/>
      <c r="BW20" s="813">
        <v>21</v>
      </c>
      <c r="BX20" s="814"/>
      <c r="BY20" s="812"/>
      <c r="BZ20" s="813">
        <v>21</v>
      </c>
      <c r="CA20" s="814"/>
      <c r="CB20" s="806"/>
    </row>
    <row r="21" spans="1:84" ht="16.5" customHeight="1" x14ac:dyDescent="0.2">
      <c r="A21" s="2249" t="s">
        <v>100</v>
      </c>
      <c r="B21" s="2250"/>
      <c r="C21" s="2246">
        <v>0.16</v>
      </c>
      <c r="D21" s="2264" t="s">
        <v>13</v>
      </c>
      <c r="E21" s="2265"/>
      <c r="F21" s="2266"/>
      <c r="G21" s="2267"/>
      <c r="H21" s="528">
        <f>ROUND(SQRT(I21^2+J21^2)*1000/(SQRT(3)*I22),2)</f>
        <v>14.46</v>
      </c>
      <c r="I21" s="532">
        <f>-1*-0.009624</f>
        <v>9.6240000000000006E-3</v>
      </c>
      <c r="J21" s="757">
        <v>1.6800000000000001E-3</v>
      </c>
      <c r="K21" s="528">
        <f>ROUND(SQRT(L21^2+M21^2)*1000/(SQRT(3)*L22),2)</f>
        <v>14.33</v>
      </c>
      <c r="L21" s="532">
        <f>-1*-0.009552</f>
        <v>9.5519999999999997E-3</v>
      </c>
      <c r="M21" s="757">
        <v>1.5840000000000001E-3</v>
      </c>
      <c r="N21" s="528">
        <f>ROUND(SQRT(O21^2+P21^2)*1000/(SQRT(3)*O22),2)</f>
        <v>14.56</v>
      </c>
      <c r="O21" s="532">
        <f>-1*-0.009696</f>
        <v>9.6959999999999998E-3</v>
      </c>
      <c r="P21" s="757">
        <v>1.6320000000000002E-3</v>
      </c>
      <c r="Q21" s="528">
        <f>ROUND(SQRT(R21^2+S21^2)*1000/(SQRT(3)*R22),2)</f>
        <v>14.52</v>
      </c>
      <c r="R21" s="532">
        <f>-1*-0.009672</f>
        <v>9.672E-3</v>
      </c>
      <c r="S21" s="757">
        <v>1.6320000000000002E-3</v>
      </c>
      <c r="T21" s="528">
        <f>ROUND(SQRT(U21^2+V21^2)*1000/(SQRT(3)*U22),2)</f>
        <v>14.54</v>
      </c>
      <c r="U21" s="532">
        <f>-1*-0.009672</f>
        <v>9.672E-3</v>
      </c>
      <c r="V21" s="757">
        <v>1.7040000000000002E-3</v>
      </c>
      <c r="W21" s="528">
        <f>ROUND(SQRT(X21^2+Y21^2)*1000/(SQRT(3)*X22),2)</f>
        <v>14.91</v>
      </c>
      <c r="X21" s="532">
        <f>-1*-0.00996</f>
        <v>9.9600000000000001E-3</v>
      </c>
      <c r="Y21" s="757">
        <v>1.488E-3</v>
      </c>
      <c r="Z21" s="528">
        <f>ROUND(SQRT(AA21^2+AB21^2)*1000/(SQRT(3)*AA22),2)</f>
        <v>15.19</v>
      </c>
      <c r="AA21" s="532">
        <f>-1*-0.010176</f>
        <v>1.0175999999999999E-2</v>
      </c>
      <c r="AB21" s="757">
        <v>1.2960000000000003E-3</v>
      </c>
      <c r="AC21" s="528">
        <f>ROUND(SQRT(AD21^2+AE21^2)*1000/(SQRT(3)*AD22),2)</f>
        <v>15.38</v>
      </c>
      <c r="AD21" s="532">
        <f>-1*-0.01032</f>
        <v>1.0319999999999999E-2</v>
      </c>
      <c r="AE21" s="757">
        <v>1.2240000000000003E-3</v>
      </c>
      <c r="AF21" s="528">
        <f>ROUND(SQRT(AG21^2+AH21^2)*1000/(SQRT(3)*AG22),2)</f>
        <v>15.42</v>
      </c>
      <c r="AG21" s="532">
        <f>-1*-0.010344</f>
        <v>1.0344000000000001E-2</v>
      </c>
      <c r="AH21" s="757">
        <v>1.2000000000000001E-3</v>
      </c>
      <c r="AI21" s="528">
        <f>ROUND(SQRT(AJ21^2+AK21^2)*1000/(SQRT(3)*AJ22),2)</f>
        <v>15.47</v>
      </c>
      <c r="AJ21" s="532">
        <f>-1*-0.010248</f>
        <v>1.0248E-2</v>
      </c>
      <c r="AK21" s="757">
        <v>1.2000000000000001E-3</v>
      </c>
      <c r="AL21" s="528">
        <f>ROUND(SQRT(AM21^2+AN21^2)*1000/(SQRT(3)*AM22),2)</f>
        <v>15.42</v>
      </c>
      <c r="AM21" s="532">
        <f>-1*-0.0102</f>
        <v>1.0200000000000001E-2</v>
      </c>
      <c r="AN21" s="757">
        <v>1.32E-3</v>
      </c>
      <c r="AO21" s="528">
        <f>ROUND(SQRT(AP21^2+AQ21^2)*1000/(SQRT(3)*AP22),2)</f>
        <v>15.34</v>
      </c>
      <c r="AP21" s="532">
        <f>-1*-0.010128</f>
        <v>1.0128E-2</v>
      </c>
      <c r="AQ21" s="757">
        <v>1.4159999999999999E-3</v>
      </c>
      <c r="AR21" s="528">
        <f>ROUND(SQRT(AS21^2+AT21^2)*1000/(SQRT(3)*AS22),2)</f>
        <v>14.89</v>
      </c>
      <c r="AS21" s="532">
        <f>-1*-0.00984</f>
        <v>9.8399999999999998E-3</v>
      </c>
      <c r="AT21" s="757">
        <v>1.3440000000000001E-3</v>
      </c>
      <c r="AU21" s="528">
        <f>ROUND(SQRT(AV21^2+AW21^2)*1000/(SQRT(3)*AV22),2)</f>
        <v>14.72</v>
      </c>
      <c r="AV21" s="532">
        <f>-1*-0.00972</f>
        <v>9.7199999999999995E-3</v>
      </c>
      <c r="AW21" s="757">
        <v>1.3920000000000002E-3</v>
      </c>
      <c r="AX21" s="528">
        <f>ROUND(SQRT(AY21^2+AZ21^2)*1000/(SQRT(3)*AY22),2)</f>
        <v>14.8</v>
      </c>
      <c r="AY21" s="532">
        <f>-1*-0.009912</f>
        <v>9.9120000000000007E-3</v>
      </c>
      <c r="AZ21" s="757">
        <v>1.32E-3</v>
      </c>
      <c r="BA21" s="528">
        <f>ROUND(SQRT(BB21^2+BC21^2)*1000/(SQRT(3)*BB22),2)</f>
        <v>14.57</v>
      </c>
      <c r="BB21" s="532">
        <f>-1*-0.009768</f>
        <v>9.7680000000000006E-3</v>
      </c>
      <c r="BC21" s="757">
        <v>1.2000000000000001E-3</v>
      </c>
      <c r="BD21" s="528">
        <f>ROUND(SQRT(BE21^2+BF21^2)*1000/(SQRT(3)*BE22),2)</f>
        <v>14.7</v>
      </c>
      <c r="BE21" s="532">
        <f>-1*-0.00984</f>
        <v>9.8399999999999998E-3</v>
      </c>
      <c r="BF21" s="757">
        <v>1.3440000000000001E-3</v>
      </c>
      <c r="BG21" s="528">
        <f>ROUND(SQRT(BH21^2+BI21^2)*1000/(SQRT(3)*BH22),2)</f>
        <v>14.1</v>
      </c>
      <c r="BH21" s="532">
        <f>-1*-0.009456</f>
        <v>9.4560000000000009E-3</v>
      </c>
      <c r="BI21" s="757">
        <v>1.1280000000000001E-3</v>
      </c>
      <c r="BJ21" s="528">
        <f>ROUND(SQRT(BK21^2+BL21^2)*1000/(SQRT(3)*BK22),2)</f>
        <v>14.76</v>
      </c>
      <c r="BK21" s="532">
        <f>-1*-0.009912</f>
        <v>9.9120000000000007E-3</v>
      </c>
      <c r="BL21" s="757">
        <v>1.1040000000000002E-3</v>
      </c>
      <c r="BM21" s="528">
        <f>ROUND(SQRT(BN21^2+BO21^2)*1000/(SQRT(3)*BN22),2)</f>
        <v>14.55</v>
      </c>
      <c r="BN21" s="532">
        <f>-1*-0.009744</f>
        <v>9.7439999999999992E-3</v>
      </c>
      <c r="BO21" s="757">
        <v>1.2720000000000001E-3</v>
      </c>
      <c r="BP21" s="528">
        <f>ROUND(SQRT(BQ21^2+BR21^2)*1000/(SQRT(3)*BQ22),2)</f>
        <v>14.52</v>
      </c>
      <c r="BQ21" s="532">
        <f>-1*-0.009744</f>
        <v>9.7439999999999992E-3</v>
      </c>
      <c r="BR21" s="757">
        <v>1.1280000000000001E-3</v>
      </c>
      <c r="BS21" s="528">
        <f>ROUND(SQRT(BT21^2+BU21^2)*1000/(SQRT(3)*BT22),2)</f>
        <v>14.58</v>
      </c>
      <c r="BT21" s="532">
        <f>-1*-0.009792</f>
        <v>9.7920000000000004E-3</v>
      </c>
      <c r="BU21" s="757">
        <v>1.0319999999999999E-3</v>
      </c>
      <c r="BV21" s="528">
        <f>ROUND(SQRT(BW21^2+BX21^2)*1000/(SQRT(3)*BW22),2)</f>
        <v>14.56</v>
      </c>
      <c r="BW21" s="532">
        <f>-1*-0.009768</f>
        <v>9.7680000000000006E-3</v>
      </c>
      <c r="BX21" s="757">
        <v>1.1760000000000002E-3</v>
      </c>
      <c r="BY21" s="528">
        <f>ROUND(SQRT(BZ21^2+CA21^2)*1000/(SQRT(3)*BZ22),2)</f>
        <v>14.49</v>
      </c>
      <c r="BZ21" s="532">
        <f>-1*-0.00972</f>
        <v>9.7199999999999995E-3</v>
      </c>
      <c r="CA21" s="757">
        <v>1.1760000000000002E-3</v>
      </c>
      <c r="CB21" s="717">
        <f>SUM(BZ21,BW21,BT21,BQ21,BN21,BK21,BH21,BE21,BB21,AY21,AV21,AS21,AP21,AM21,AJ21,AG21,AD21,AA21,X21,U21,R21,O21,L21,I21)</f>
        <v>0.23680800000000007</v>
      </c>
      <c r="CC21" s="618">
        <f>SUM(CA21,BX21,BU21,BR21,BO21,BL21,BI21,BF21,BC21,AZ21,AW21,AT21,AQ21,AN21,AK21,AH21,AE21,AB21,Y21,V21,S21,P21,M21,J21)</f>
        <v>3.1992E-2</v>
      </c>
      <c r="CD21" s="529"/>
    </row>
    <row r="22" spans="1:84" ht="16.5" customHeight="1" thickBot="1" x14ac:dyDescent="0.25">
      <c r="A22" s="2253"/>
      <c r="B22" s="2254"/>
      <c r="C22" s="2248"/>
      <c r="D22" s="2270" t="s">
        <v>14</v>
      </c>
      <c r="E22" s="2271"/>
      <c r="F22" s="2268"/>
      <c r="G22" s="2269"/>
      <c r="H22" s="816">
        <v>0</v>
      </c>
      <c r="I22" s="817">
        <v>0.39</v>
      </c>
      <c r="J22" s="818">
        <v>0</v>
      </c>
      <c r="K22" s="816">
        <v>0</v>
      </c>
      <c r="L22" s="817">
        <v>0.39</v>
      </c>
      <c r="M22" s="818">
        <v>0</v>
      </c>
      <c r="N22" s="816">
        <v>0</v>
      </c>
      <c r="O22" s="817">
        <v>0.39</v>
      </c>
      <c r="P22" s="818">
        <v>0</v>
      </c>
      <c r="Q22" s="816">
        <v>0</v>
      </c>
      <c r="R22" s="817">
        <v>0.39</v>
      </c>
      <c r="S22" s="818">
        <v>0</v>
      </c>
      <c r="T22" s="816">
        <v>0</v>
      </c>
      <c r="U22" s="817">
        <v>0.39</v>
      </c>
      <c r="V22" s="818">
        <v>0</v>
      </c>
      <c r="W22" s="816">
        <v>0</v>
      </c>
      <c r="X22" s="817">
        <v>0.39</v>
      </c>
      <c r="Y22" s="818">
        <v>0</v>
      </c>
      <c r="Z22" s="816">
        <v>0</v>
      </c>
      <c r="AA22" s="817">
        <v>0.39</v>
      </c>
      <c r="AB22" s="818">
        <v>0</v>
      </c>
      <c r="AC22" s="816">
        <v>0</v>
      </c>
      <c r="AD22" s="817">
        <v>0.39</v>
      </c>
      <c r="AE22" s="818">
        <v>0</v>
      </c>
      <c r="AF22" s="816">
        <v>0</v>
      </c>
      <c r="AG22" s="817">
        <v>0.39</v>
      </c>
      <c r="AH22" s="818">
        <v>0</v>
      </c>
      <c r="AI22" s="816">
        <v>0</v>
      </c>
      <c r="AJ22" s="817">
        <v>0.38500000000000001</v>
      </c>
      <c r="AK22" s="818">
        <v>0</v>
      </c>
      <c r="AL22" s="816">
        <v>0</v>
      </c>
      <c r="AM22" s="817">
        <v>0.38500000000000001</v>
      </c>
      <c r="AN22" s="818">
        <v>0</v>
      </c>
      <c r="AO22" s="816">
        <v>0</v>
      </c>
      <c r="AP22" s="817">
        <v>0.38500000000000001</v>
      </c>
      <c r="AQ22" s="818">
        <v>0</v>
      </c>
      <c r="AR22" s="816">
        <v>0</v>
      </c>
      <c r="AS22" s="817">
        <v>0.38500000000000001</v>
      </c>
      <c r="AT22" s="818">
        <v>0</v>
      </c>
      <c r="AU22" s="816">
        <v>0</v>
      </c>
      <c r="AV22" s="817">
        <v>0.38500000000000001</v>
      </c>
      <c r="AW22" s="818">
        <v>0</v>
      </c>
      <c r="AX22" s="816">
        <v>0</v>
      </c>
      <c r="AY22" s="817">
        <v>0.39</v>
      </c>
      <c r="AZ22" s="818">
        <v>0</v>
      </c>
      <c r="BA22" s="816">
        <v>0</v>
      </c>
      <c r="BB22" s="817">
        <v>0.39</v>
      </c>
      <c r="BC22" s="818">
        <v>0</v>
      </c>
      <c r="BD22" s="816">
        <v>0</v>
      </c>
      <c r="BE22" s="817">
        <v>0.39</v>
      </c>
      <c r="BF22" s="818">
        <v>0</v>
      </c>
      <c r="BG22" s="816">
        <v>0</v>
      </c>
      <c r="BH22" s="817">
        <v>0.39</v>
      </c>
      <c r="BI22" s="818">
        <v>0</v>
      </c>
      <c r="BJ22" s="816">
        <v>0</v>
      </c>
      <c r="BK22" s="817">
        <v>0.39</v>
      </c>
      <c r="BL22" s="818">
        <v>0</v>
      </c>
      <c r="BM22" s="816">
        <v>0</v>
      </c>
      <c r="BN22" s="817">
        <v>0.39</v>
      </c>
      <c r="BO22" s="818">
        <v>0</v>
      </c>
      <c r="BP22" s="816">
        <v>0</v>
      </c>
      <c r="BQ22" s="817">
        <v>0.39</v>
      </c>
      <c r="BR22" s="818">
        <v>0</v>
      </c>
      <c r="BS22" s="816">
        <v>0</v>
      </c>
      <c r="BT22" s="817">
        <v>0.39</v>
      </c>
      <c r="BU22" s="818">
        <v>0</v>
      </c>
      <c r="BV22" s="816">
        <v>0</v>
      </c>
      <c r="BW22" s="817">
        <v>0.39</v>
      </c>
      <c r="BX22" s="818">
        <v>0</v>
      </c>
      <c r="BY22" s="816">
        <v>0</v>
      </c>
      <c r="BZ22" s="817">
        <v>0.39</v>
      </c>
      <c r="CA22" s="818">
        <v>0</v>
      </c>
      <c r="CB22" s="806"/>
    </row>
    <row r="23" spans="1:84" ht="16.5" customHeight="1" x14ac:dyDescent="0.2">
      <c r="A23" s="2249" t="s">
        <v>101</v>
      </c>
      <c r="B23" s="2250"/>
      <c r="C23" s="2246">
        <v>0.16</v>
      </c>
      <c r="D23" s="2264" t="s">
        <v>13</v>
      </c>
      <c r="E23" s="2265"/>
      <c r="F23" s="2266"/>
      <c r="G23" s="2267"/>
      <c r="H23" s="528">
        <f>ROUND(SQRT(I23^2+J23^2)*1000/(SQRT(3)*I24),2)</f>
        <v>16.170000000000002</v>
      </c>
      <c r="I23" s="532">
        <f>-1*-0.01092</f>
        <v>1.0919999999999999E-2</v>
      </c>
      <c r="J23" s="757">
        <f>-1*-0.000168</f>
        <v>1.6799999999999999E-4</v>
      </c>
      <c r="K23" s="528">
        <f>ROUND(SQRT(L23^2+M23^2)*1000/(SQRT(3)*L24),2)</f>
        <v>16.27</v>
      </c>
      <c r="L23" s="532">
        <f>-1*-0.010992</f>
        <v>1.0992E-2</v>
      </c>
      <c r="M23" s="757">
        <f>-1*-0.000144</f>
        <v>1.44E-4</v>
      </c>
      <c r="N23" s="528">
        <f>ROUND(SQRT(O23^2+P23^2)*1000/(SQRT(3)*O24),2)</f>
        <v>16.38</v>
      </c>
      <c r="O23" s="532">
        <f>-1*-0.011064</f>
        <v>1.1063999999999999E-2</v>
      </c>
      <c r="P23" s="757">
        <f>-1*-0.00012</f>
        <v>1.2E-4</v>
      </c>
      <c r="Q23" s="528">
        <f>ROUND(SQRT(R23^2+S23^2)*1000/(SQRT(3)*R24),2)</f>
        <v>16.309999999999999</v>
      </c>
      <c r="R23" s="532">
        <f>-1*-0.011016</f>
        <v>1.1016E-2</v>
      </c>
      <c r="S23" s="757">
        <f>-1*-0.00012</f>
        <v>1.2E-4</v>
      </c>
      <c r="T23" s="528">
        <f>ROUND(SQRT(U23^2+V23^2)*1000/(SQRT(3)*U24),2)</f>
        <v>16.27</v>
      </c>
      <c r="U23" s="532">
        <f>-1*-0.010992</f>
        <v>1.0992E-2</v>
      </c>
      <c r="V23" s="757">
        <f>-1*-0.000168</f>
        <v>1.6799999999999999E-4</v>
      </c>
      <c r="W23" s="528">
        <f>ROUND(SQRT(X23^2+Y23^2)*1000/(SQRT(3)*X24),2)</f>
        <v>16.59</v>
      </c>
      <c r="X23" s="532">
        <f>-1*-0.011208</f>
        <v>1.1207999999999999E-2</v>
      </c>
      <c r="Y23" s="757">
        <f>-1*-0.00012</f>
        <v>1.2E-4</v>
      </c>
      <c r="Z23" s="528">
        <f>ROUND(SQRT(AA23^2+AB23^2)*1000/(SQRT(3)*AA24),2)</f>
        <v>16.670000000000002</v>
      </c>
      <c r="AA23" s="532">
        <f>-1*-0.011256</f>
        <v>1.1256E-2</v>
      </c>
      <c r="AB23" s="757">
        <f>-1*-0.000192</f>
        <v>1.92E-4</v>
      </c>
      <c r="AC23" s="528">
        <f>ROUND(SQRT(AD23^2+AE23^2)*1000/(SQRT(3)*AD24),2)</f>
        <v>16.559999999999999</v>
      </c>
      <c r="AD23" s="532">
        <f>-1*-0.011184</f>
        <v>1.1183999999999999E-2</v>
      </c>
      <c r="AE23" s="757">
        <f>-1*-0.00024</f>
        <v>2.4000000000000001E-4</v>
      </c>
      <c r="AF23" s="528">
        <f>ROUND(SQRT(AG23^2+AH23^2)*1000/(SQRT(3)*AG24),2)</f>
        <v>16.489999999999998</v>
      </c>
      <c r="AG23" s="532">
        <f>-1*-0.011136</f>
        <v>1.1136E-2</v>
      </c>
      <c r="AH23" s="757">
        <f>-1*-0.000216</f>
        <v>2.1599999999999999E-4</v>
      </c>
      <c r="AI23" s="528">
        <f>ROUND(SQRT(AJ23^2+AK23^2)*1000/(SQRT(3)*AJ24),2)</f>
        <v>16.52</v>
      </c>
      <c r="AJ23" s="532">
        <f>-1*-0.011016</f>
        <v>1.1016E-2</v>
      </c>
      <c r="AK23" s="757">
        <f>-1*-0.00024</f>
        <v>2.4000000000000001E-4</v>
      </c>
      <c r="AL23" s="528">
        <f>ROUND(SQRT(AM23^2+AN23^2)*1000/(SQRT(3)*AM24),2)</f>
        <v>16.309999999999999</v>
      </c>
      <c r="AM23" s="532">
        <f>-1*-0.010872</f>
        <v>1.0872E-2</v>
      </c>
      <c r="AN23" s="757">
        <f>-1*-0.000384</f>
        <v>3.8400000000000001E-4</v>
      </c>
      <c r="AO23" s="528">
        <f>ROUND(SQRT(AP23^2+AQ23^2)*1000/(SQRT(3)*AP24),2)</f>
        <v>15.62</v>
      </c>
      <c r="AP23" s="532">
        <f>-1*-0.010416</f>
        <v>1.0416E-2</v>
      </c>
      <c r="AQ23" s="757">
        <f>-1*-0.000024</f>
        <v>2.4000000000000001E-5</v>
      </c>
      <c r="AR23" s="528">
        <f>ROUND(SQRT(AS23^2+AT23^2)*1000/(SQRT(3)*AS24),2)</f>
        <v>14.43</v>
      </c>
      <c r="AS23" s="532">
        <f>-1*-0.0096</f>
        <v>9.5999999999999992E-3</v>
      </c>
      <c r="AT23" s="757">
        <v>6.9600000000000011E-4</v>
      </c>
      <c r="AU23" s="528">
        <f>ROUND(SQRT(AV23^2+AW23^2)*1000/(SQRT(3)*AV24),2)</f>
        <v>14.54</v>
      </c>
      <c r="AV23" s="532">
        <f>-1*-0.009672</f>
        <v>9.672E-3</v>
      </c>
      <c r="AW23" s="757">
        <v>6.9600000000000011E-4</v>
      </c>
      <c r="AX23" s="528">
        <f>ROUND(SQRT(AY23^2+AZ23^2)*1000/(SQRT(3)*AY24),2)</f>
        <v>14.15</v>
      </c>
      <c r="AY23" s="532">
        <f>-1*-0.009528</f>
        <v>9.528E-3</v>
      </c>
      <c r="AZ23" s="757">
        <v>7.9200000000000006E-4</v>
      </c>
      <c r="BA23" s="528">
        <f>ROUND(SQRT(BB23^2+BC23^2)*1000/(SQRT(3)*BB24),2)</f>
        <v>14.02</v>
      </c>
      <c r="BB23" s="532">
        <f>-1*-0.009432</f>
        <v>9.4319999999999994E-3</v>
      </c>
      <c r="BC23" s="757">
        <v>8.160000000000001E-4</v>
      </c>
      <c r="BD23" s="528">
        <f>ROUND(SQRT(BE23^2+BF23^2)*1000/(SQRT(3)*BE24),2)</f>
        <v>14.48</v>
      </c>
      <c r="BE23" s="532">
        <f>-1*-0.009744</f>
        <v>9.7439999999999992E-3</v>
      </c>
      <c r="BF23" s="757">
        <v>8.4000000000000003E-4</v>
      </c>
      <c r="BG23" s="528">
        <f>ROUND(SQRT(BH23^2+BI23^2)*1000/(SQRT(3)*BH24),2)</f>
        <v>14.6</v>
      </c>
      <c r="BH23" s="532">
        <f>-1*-0.009816</f>
        <v>9.8160000000000001E-3</v>
      </c>
      <c r="BI23" s="757">
        <v>9.6000000000000002E-4</v>
      </c>
      <c r="BJ23" s="528">
        <f>ROUND(SQRT(BK23^2+BL23^2)*1000/(SQRT(3)*BK24),2)</f>
        <v>15.35</v>
      </c>
      <c r="BK23" s="532">
        <f>-1*-0.010368</f>
        <v>1.0368E-2</v>
      </c>
      <c r="BL23" s="757">
        <v>2.3999999999999994E-5</v>
      </c>
      <c r="BM23" s="528">
        <f>ROUND(SQRT(BN23^2+BO23^2)*1000/(SQRT(3)*BN24),2)</f>
        <v>15.99</v>
      </c>
      <c r="BN23" s="532">
        <f>-1*-0.0108</f>
        <v>1.0800000000000001E-2</v>
      </c>
      <c r="BO23" s="757">
        <f>-1*-0.000048</f>
        <v>4.8000000000000001E-5</v>
      </c>
      <c r="BP23" s="528">
        <f>ROUND(SQRT(BQ23^2+BR23^2)*1000/(SQRT(3)*BQ24),2)</f>
        <v>16.239999999999998</v>
      </c>
      <c r="BQ23" s="532">
        <f>-1*-0.010968</f>
        <v>1.0968E-2</v>
      </c>
      <c r="BR23" s="757">
        <v>2.1600000000000002E-4</v>
      </c>
      <c r="BS23" s="528">
        <f>ROUND(SQRT(BT23^2+BU23^2)*1000/(SQRT(3)*BT24),2)</f>
        <v>15.78</v>
      </c>
      <c r="BT23" s="532">
        <f>-1*-0.010656</f>
        <v>1.0656000000000001E-2</v>
      </c>
      <c r="BU23" s="757">
        <v>1.92E-4</v>
      </c>
      <c r="BV23" s="528">
        <v>7.9200000000000006E-4</v>
      </c>
      <c r="BW23" s="532">
        <f>-1*-0.010968</f>
        <v>1.0968E-2</v>
      </c>
      <c r="BX23" s="757">
        <v>2.6400000000000007E-4</v>
      </c>
      <c r="BY23" s="528">
        <f>ROUND(SQRT(BZ23^2+CA23^2)*1000/(SQRT(3)*BZ24),2)</f>
        <v>16.38</v>
      </c>
      <c r="BZ23" s="532">
        <f>-1*-0.011064</f>
        <v>1.1063999999999999E-2</v>
      </c>
      <c r="CA23" s="757">
        <v>1.92E-4</v>
      </c>
      <c r="CB23" s="717">
        <f>SUM(BZ23,BW23,BT23,BQ23,BN23,BK23,BH23,BE23,BB23,AY23,AV23,AS23,AP23,AM23,AJ23,AG23,AD23,AA23,X23,U23,R23,O23,L23,I23)</f>
        <v>0.25468799999999997</v>
      </c>
      <c r="CC23" s="618">
        <f>SUM(CA23,BX23,BU23,BR23,BO23,BL23,BI23,BF23,BC23,AZ23,AW23,AT23,AQ23,AN23,AK23,AH23,AE23,AB23,Y23,V23,S23,P23,M23,J23)</f>
        <v>7.8720000000000023E-3</v>
      </c>
      <c r="CD23" s="529"/>
    </row>
    <row r="24" spans="1:84" ht="16.5" customHeight="1" thickBot="1" x14ac:dyDescent="0.25">
      <c r="A24" s="2253"/>
      <c r="B24" s="2254"/>
      <c r="C24" s="2248"/>
      <c r="D24" s="2270" t="s">
        <v>14</v>
      </c>
      <c r="E24" s="2271"/>
      <c r="F24" s="2268"/>
      <c r="G24" s="2269"/>
      <c r="H24" s="816">
        <v>0</v>
      </c>
      <c r="I24" s="817">
        <v>0.39</v>
      </c>
      <c r="J24" s="818">
        <v>0</v>
      </c>
      <c r="K24" s="816">
        <v>0</v>
      </c>
      <c r="L24" s="817">
        <v>0.39</v>
      </c>
      <c r="M24" s="818">
        <v>0</v>
      </c>
      <c r="N24" s="816">
        <v>0</v>
      </c>
      <c r="O24" s="817">
        <v>0.39</v>
      </c>
      <c r="P24" s="818">
        <v>0</v>
      </c>
      <c r="Q24" s="816">
        <v>0</v>
      </c>
      <c r="R24" s="817">
        <v>0.39</v>
      </c>
      <c r="S24" s="818">
        <v>0</v>
      </c>
      <c r="T24" s="816">
        <v>0</v>
      </c>
      <c r="U24" s="817">
        <v>0.39</v>
      </c>
      <c r="V24" s="818">
        <v>0</v>
      </c>
      <c r="W24" s="816">
        <v>0</v>
      </c>
      <c r="X24" s="817">
        <v>0.39</v>
      </c>
      <c r="Y24" s="818">
        <v>0</v>
      </c>
      <c r="Z24" s="816">
        <v>0</v>
      </c>
      <c r="AA24" s="817">
        <v>0.39</v>
      </c>
      <c r="AB24" s="818">
        <v>0</v>
      </c>
      <c r="AC24" s="816">
        <v>0</v>
      </c>
      <c r="AD24" s="817">
        <v>0.39</v>
      </c>
      <c r="AE24" s="818">
        <v>0</v>
      </c>
      <c r="AF24" s="816">
        <v>0</v>
      </c>
      <c r="AG24" s="817">
        <v>0.39</v>
      </c>
      <c r="AH24" s="818">
        <v>0</v>
      </c>
      <c r="AI24" s="816">
        <v>0</v>
      </c>
      <c r="AJ24" s="817">
        <v>0.38500000000000001</v>
      </c>
      <c r="AK24" s="818">
        <v>0</v>
      </c>
      <c r="AL24" s="816">
        <v>0</v>
      </c>
      <c r="AM24" s="817">
        <v>0.38500000000000001</v>
      </c>
      <c r="AN24" s="818">
        <v>0</v>
      </c>
      <c r="AO24" s="816">
        <v>0</v>
      </c>
      <c r="AP24" s="817">
        <v>0.38500000000000001</v>
      </c>
      <c r="AQ24" s="818">
        <v>0</v>
      </c>
      <c r="AR24" s="816">
        <v>0</v>
      </c>
      <c r="AS24" s="817">
        <v>0.38500000000000001</v>
      </c>
      <c r="AT24" s="818">
        <v>0</v>
      </c>
      <c r="AU24" s="816">
        <v>0</v>
      </c>
      <c r="AV24" s="817">
        <v>0.38500000000000001</v>
      </c>
      <c r="AW24" s="818">
        <v>0</v>
      </c>
      <c r="AX24" s="816">
        <v>0</v>
      </c>
      <c r="AY24" s="817">
        <v>0.39</v>
      </c>
      <c r="AZ24" s="818">
        <v>0</v>
      </c>
      <c r="BA24" s="816">
        <v>0</v>
      </c>
      <c r="BB24" s="817">
        <v>0.39</v>
      </c>
      <c r="BC24" s="818">
        <v>0</v>
      </c>
      <c r="BD24" s="816">
        <v>0</v>
      </c>
      <c r="BE24" s="817">
        <v>0.39</v>
      </c>
      <c r="BF24" s="818">
        <v>0</v>
      </c>
      <c r="BG24" s="816">
        <v>0</v>
      </c>
      <c r="BH24" s="817">
        <v>0.39</v>
      </c>
      <c r="BI24" s="818">
        <v>0</v>
      </c>
      <c r="BJ24" s="816">
        <v>0</v>
      </c>
      <c r="BK24" s="817">
        <v>0.39</v>
      </c>
      <c r="BL24" s="818">
        <v>0</v>
      </c>
      <c r="BM24" s="816">
        <v>0</v>
      </c>
      <c r="BN24" s="817">
        <v>0.39</v>
      </c>
      <c r="BO24" s="818">
        <v>0</v>
      </c>
      <c r="BP24" s="816">
        <v>0</v>
      </c>
      <c r="BQ24" s="817">
        <v>0.39</v>
      </c>
      <c r="BR24" s="818">
        <v>0</v>
      </c>
      <c r="BS24" s="816">
        <v>0</v>
      </c>
      <c r="BT24" s="817">
        <v>0.39</v>
      </c>
      <c r="BU24" s="818">
        <v>0</v>
      </c>
      <c r="BV24" s="816">
        <v>0</v>
      </c>
      <c r="BW24" s="817">
        <v>0.39</v>
      </c>
      <c r="BX24" s="818">
        <v>0</v>
      </c>
      <c r="BY24" s="816">
        <v>0</v>
      </c>
      <c r="BZ24" s="817">
        <v>0.39</v>
      </c>
      <c r="CA24" s="818">
        <v>0</v>
      </c>
      <c r="CB24" s="806"/>
    </row>
    <row r="25" spans="1:84" x14ac:dyDescent="0.2">
      <c r="A25" s="2272" t="s">
        <v>35</v>
      </c>
      <c r="B25" s="2272"/>
      <c r="C25" s="2273"/>
      <c r="D25" s="2276" t="s">
        <v>33</v>
      </c>
      <c r="E25" s="2277"/>
      <c r="F25" s="2277"/>
      <c r="G25" s="2278"/>
      <c r="H25" s="714" t="s">
        <v>84</v>
      </c>
      <c r="I25" s="715" t="s">
        <v>84</v>
      </c>
      <c r="J25" s="716" t="s">
        <v>84</v>
      </c>
      <c r="K25" s="714" t="s">
        <v>84</v>
      </c>
      <c r="L25" s="715" t="s">
        <v>84</v>
      </c>
      <c r="M25" s="716" t="s">
        <v>84</v>
      </c>
      <c r="N25" s="714" t="s">
        <v>84</v>
      </c>
      <c r="O25" s="715" t="s">
        <v>84</v>
      </c>
      <c r="P25" s="716" t="s">
        <v>84</v>
      </c>
      <c r="Q25" s="714" t="s">
        <v>84</v>
      </c>
      <c r="R25" s="715" t="s">
        <v>84</v>
      </c>
      <c r="S25" s="716" t="s">
        <v>84</v>
      </c>
      <c r="T25" s="714" t="s">
        <v>84</v>
      </c>
      <c r="U25" s="715" t="s">
        <v>84</v>
      </c>
      <c r="V25" s="716" t="s">
        <v>84</v>
      </c>
      <c r="W25" s="714" t="s">
        <v>84</v>
      </c>
      <c r="X25" s="715" t="s">
        <v>84</v>
      </c>
      <c r="Y25" s="716" t="s">
        <v>84</v>
      </c>
      <c r="Z25" s="714" t="s">
        <v>84</v>
      </c>
      <c r="AA25" s="715" t="s">
        <v>84</v>
      </c>
      <c r="AB25" s="716" t="s">
        <v>84</v>
      </c>
      <c r="AC25" s="714" t="s">
        <v>84</v>
      </c>
      <c r="AD25" s="715" t="s">
        <v>84</v>
      </c>
      <c r="AE25" s="716" t="s">
        <v>84</v>
      </c>
      <c r="AF25" s="714" t="s">
        <v>84</v>
      </c>
      <c r="AG25" s="715" t="s">
        <v>84</v>
      </c>
      <c r="AH25" s="716" t="s">
        <v>84</v>
      </c>
      <c r="AI25" s="714" t="s">
        <v>84</v>
      </c>
      <c r="AJ25" s="715" t="s">
        <v>84</v>
      </c>
      <c r="AK25" s="716" t="s">
        <v>84</v>
      </c>
      <c r="AL25" s="714" t="s">
        <v>84</v>
      </c>
      <c r="AM25" s="715" t="s">
        <v>84</v>
      </c>
      <c r="AN25" s="716" t="s">
        <v>84</v>
      </c>
      <c r="AO25" s="714" t="s">
        <v>84</v>
      </c>
      <c r="AP25" s="715" t="s">
        <v>84</v>
      </c>
      <c r="AQ25" s="716" t="s">
        <v>84</v>
      </c>
      <c r="AR25" s="714" t="s">
        <v>84</v>
      </c>
      <c r="AS25" s="715" t="s">
        <v>84</v>
      </c>
      <c r="AT25" s="716" t="s">
        <v>84</v>
      </c>
      <c r="AU25" s="714" t="s">
        <v>84</v>
      </c>
      <c r="AV25" s="715" t="s">
        <v>84</v>
      </c>
      <c r="AW25" s="716" t="s">
        <v>84</v>
      </c>
      <c r="AX25" s="714" t="s">
        <v>84</v>
      </c>
      <c r="AY25" s="715" t="s">
        <v>84</v>
      </c>
      <c r="AZ25" s="716" t="s">
        <v>84</v>
      </c>
      <c r="BA25" s="714" t="s">
        <v>84</v>
      </c>
      <c r="BB25" s="715" t="s">
        <v>84</v>
      </c>
      <c r="BC25" s="716" t="s">
        <v>84</v>
      </c>
      <c r="BD25" s="714" t="s">
        <v>84</v>
      </c>
      <c r="BE25" s="715" t="s">
        <v>84</v>
      </c>
      <c r="BF25" s="716" t="s">
        <v>84</v>
      </c>
      <c r="BG25" s="714" t="s">
        <v>84</v>
      </c>
      <c r="BH25" s="715" t="s">
        <v>84</v>
      </c>
      <c r="BI25" s="716" t="s">
        <v>84</v>
      </c>
      <c r="BJ25" s="714" t="s">
        <v>84</v>
      </c>
      <c r="BK25" s="715" t="s">
        <v>84</v>
      </c>
      <c r="BL25" s="716" t="s">
        <v>84</v>
      </c>
      <c r="BM25" s="714" t="s">
        <v>84</v>
      </c>
      <c r="BN25" s="715" t="s">
        <v>84</v>
      </c>
      <c r="BO25" s="716" t="s">
        <v>84</v>
      </c>
      <c r="BP25" s="714" t="s">
        <v>84</v>
      </c>
      <c r="BQ25" s="715" t="s">
        <v>84</v>
      </c>
      <c r="BR25" s="716" t="s">
        <v>84</v>
      </c>
      <c r="BS25" s="714" t="s">
        <v>84</v>
      </c>
      <c r="BT25" s="715" t="s">
        <v>84</v>
      </c>
      <c r="BU25" s="716" t="s">
        <v>84</v>
      </c>
      <c r="BV25" s="714" t="s">
        <v>84</v>
      </c>
      <c r="BW25" s="715" t="s">
        <v>84</v>
      </c>
      <c r="BX25" s="716" t="s">
        <v>84</v>
      </c>
      <c r="BY25" s="714" t="s">
        <v>84</v>
      </c>
      <c r="BZ25" s="715" t="s">
        <v>84</v>
      </c>
      <c r="CA25" s="716" t="s">
        <v>84</v>
      </c>
      <c r="CB25" s="806"/>
    </row>
    <row r="26" spans="1:84" ht="13.5" thickBot="1" x14ac:dyDescent="0.25">
      <c r="A26" s="2274"/>
      <c r="B26" s="2274"/>
      <c r="C26" s="2275"/>
      <c r="D26" s="2279" t="s">
        <v>34</v>
      </c>
      <c r="E26" s="2280"/>
      <c r="F26" s="2280"/>
      <c r="G26" s="2281"/>
      <c r="H26" s="819">
        <f>H8+H15</f>
        <v>21.09</v>
      </c>
      <c r="I26" s="820">
        <f>SUM(I8,I15)</f>
        <v>0.365344</v>
      </c>
      <c r="J26" s="821">
        <f>SUM(J8,J15)</f>
        <v>5.0847999999999997E-2</v>
      </c>
      <c r="K26" s="819">
        <f>K8+K15</f>
        <v>20.810000000000002</v>
      </c>
      <c r="L26" s="820">
        <f>SUM(L8,L15)</f>
        <v>0.36094400000000004</v>
      </c>
      <c r="M26" s="821">
        <f>SUM(M8,M15)</f>
        <v>4.7727999999999993E-2</v>
      </c>
      <c r="N26" s="819">
        <f>N8+N15</f>
        <v>20.55</v>
      </c>
      <c r="O26" s="820">
        <f>SUM(O8,O15)</f>
        <v>0.35636000000000001</v>
      </c>
      <c r="P26" s="821">
        <f>SUM(P8,P15)</f>
        <v>4.6952000000000001E-2</v>
      </c>
      <c r="Q26" s="819">
        <f>Q8+Q15</f>
        <v>20.36</v>
      </c>
      <c r="R26" s="820">
        <f>SUM(R8,R15)</f>
        <v>0.35288799999999998</v>
      </c>
      <c r="S26" s="821">
        <f>SUM(S8,S15)</f>
        <v>4.7551999999999997E-2</v>
      </c>
      <c r="T26" s="819">
        <f>T8+T15</f>
        <v>20.41</v>
      </c>
      <c r="U26" s="820">
        <f>SUM(U8,U15)</f>
        <v>0.35386399999999996</v>
      </c>
      <c r="V26" s="821">
        <f>SUM(V8,V15)</f>
        <v>4.6672000000000005E-2</v>
      </c>
      <c r="W26" s="819">
        <f>W8+W15</f>
        <v>20.89</v>
      </c>
      <c r="X26" s="820">
        <f>SUM(X8,X15)</f>
        <v>0.362568</v>
      </c>
      <c r="Y26" s="821">
        <f>SUM(Y8,Y15)</f>
        <v>4.5007999999999992E-2</v>
      </c>
      <c r="Z26" s="819">
        <f>Z8+Z15</f>
        <v>22.47</v>
      </c>
      <c r="AA26" s="820">
        <f>SUM(AA8,AA15)</f>
        <v>0.39023199999999991</v>
      </c>
      <c r="AB26" s="821">
        <f>SUM(AB8,AB15)</f>
        <v>4.6088000000000004E-2</v>
      </c>
      <c r="AC26" s="819">
        <f>AC8+AC15</f>
        <v>23.5</v>
      </c>
      <c r="AD26" s="820">
        <f>SUM(AD8,AD15)</f>
        <v>0.40870399999999996</v>
      </c>
      <c r="AE26" s="821">
        <f>SUM(AE8,AE15)</f>
        <v>4.3864E-2</v>
      </c>
      <c r="AF26" s="819">
        <f>AF8+AF15</f>
        <v>23.69</v>
      </c>
      <c r="AG26" s="820">
        <f>SUM(AG8,AG15)</f>
        <v>0.41208</v>
      </c>
      <c r="AH26" s="821">
        <f>SUM(AH8,AH15)</f>
        <v>4.4415999999999997E-2</v>
      </c>
      <c r="AI26" s="819">
        <f>AI8+AI15</f>
        <v>24.57</v>
      </c>
      <c r="AJ26" s="820">
        <f>SUM(AJ8,AJ15)</f>
        <v>0.42626399999999998</v>
      </c>
      <c r="AK26" s="821">
        <f>SUM(AK8,AK15)</f>
        <v>5.4239999999999997E-2</v>
      </c>
      <c r="AL26" s="819">
        <f>AL8+AL15</f>
        <v>24.39</v>
      </c>
      <c r="AM26" s="820">
        <f>SUM(AM8,AM15)</f>
        <v>0.42147200000000007</v>
      </c>
      <c r="AN26" s="821">
        <f>SUM(AN8,AN15)</f>
        <v>6.4703999999999998E-2</v>
      </c>
      <c r="AO26" s="819">
        <f>AO8+AO15</f>
        <v>23.810000000000002</v>
      </c>
      <c r="AP26" s="820">
        <f>SUM(AP8,AP15)</f>
        <v>0.411744</v>
      </c>
      <c r="AQ26" s="821">
        <f>SUM(AQ8,AQ15)</f>
        <v>6.2640000000000001E-2</v>
      </c>
      <c r="AR26" s="819">
        <f>AR8+AR15</f>
        <v>23.759999999999998</v>
      </c>
      <c r="AS26" s="820">
        <f>SUM(AS8,AS15)</f>
        <v>0.41044000000000003</v>
      </c>
      <c r="AT26" s="821">
        <f>SUM(AT8,AT15)</f>
        <v>6.4640000000000003E-2</v>
      </c>
      <c r="AU26" s="819">
        <f>AU8+AU15</f>
        <v>23.61</v>
      </c>
      <c r="AV26" s="820">
        <f>SUM(AV8,AV15)</f>
        <v>0.40759200000000007</v>
      </c>
      <c r="AW26" s="821">
        <f>SUM(AW8,AW15)</f>
        <v>6.4888000000000001E-2</v>
      </c>
      <c r="AX26" s="819">
        <f>AX8+AX15</f>
        <v>23.33</v>
      </c>
      <c r="AY26" s="820">
        <f>SUM(AY8,AY15)</f>
        <v>0.40344000000000002</v>
      </c>
      <c r="AZ26" s="821">
        <f>SUM(AZ8,AZ15)</f>
        <v>6.0511999999999996E-2</v>
      </c>
      <c r="BA26" s="819">
        <f>BA8+BA15</f>
        <v>23.369999999999997</v>
      </c>
      <c r="BB26" s="820">
        <f>SUM(BB8,BB15)</f>
        <v>0.40600000000000003</v>
      </c>
      <c r="BC26" s="821">
        <f>SUM(BC8,BC15)</f>
        <v>4.8215999999999995E-2</v>
      </c>
      <c r="BD26" s="819">
        <f>BD8+BD15</f>
        <v>24.47</v>
      </c>
      <c r="BE26" s="820">
        <f>SUM(BE8,BE15)</f>
        <v>0.42558399999999996</v>
      </c>
      <c r="BF26" s="821">
        <f>SUM(BF8,BF15)</f>
        <v>4.6384000000000009E-2</v>
      </c>
      <c r="BG26" s="819">
        <f>BG8+BG15</f>
        <v>24.52</v>
      </c>
      <c r="BH26" s="820">
        <f>SUM(BH8,BH15)</f>
        <v>0.42647199999999996</v>
      </c>
      <c r="BI26" s="821">
        <f>SUM(BI8,BI15)</f>
        <v>4.5687999999999999E-2</v>
      </c>
      <c r="BJ26" s="819">
        <f>BJ8+BJ15</f>
        <v>23.97</v>
      </c>
      <c r="BK26" s="820">
        <f>SUM(BK8,BK15)</f>
        <v>0.41688000000000003</v>
      </c>
      <c r="BL26" s="821">
        <f>SUM(BL8,BL15)</f>
        <v>4.3927999999999995E-2</v>
      </c>
      <c r="BM26" s="819">
        <f>BM8+BM15</f>
        <v>23.7</v>
      </c>
      <c r="BN26" s="820">
        <f>SUM(BN8,BN15)</f>
        <v>0.41214399999999995</v>
      </c>
      <c r="BO26" s="821">
        <f>SUM(BO8,BO15)</f>
        <v>4.4319999999999998E-2</v>
      </c>
      <c r="BP26" s="819">
        <f>BP8+BP15</f>
        <v>23.33</v>
      </c>
      <c r="BQ26" s="820">
        <f>SUM(BQ8,BQ15)</f>
        <v>0.40551199999999998</v>
      </c>
      <c r="BR26" s="821">
        <f>SUM(BR8,BR15)</f>
        <v>4.6944E-2</v>
      </c>
      <c r="BS26" s="819">
        <f>BS8+BS15</f>
        <v>22.689999999999998</v>
      </c>
      <c r="BT26" s="820">
        <f>SUM(BT8,BT15)</f>
        <v>0.39424799999999993</v>
      </c>
      <c r="BU26" s="821">
        <f>SUM(BU8,BU15)</f>
        <v>4.5224E-2</v>
      </c>
      <c r="BV26" s="819">
        <f>BV8+BV15</f>
        <v>21.58</v>
      </c>
      <c r="BW26" s="820">
        <f>SUM(BW8,BW15)</f>
        <v>0.37413600000000002</v>
      </c>
      <c r="BX26" s="821">
        <f>SUM(BX8,BX15)</f>
        <v>4.9640000000000004E-2</v>
      </c>
      <c r="BY26" s="819">
        <f>BY8+BY15</f>
        <v>20.759999999999998</v>
      </c>
      <c r="BZ26" s="820">
        <f>SUM(BZ8,BZ15)</f>
        <v>0.35958400000000001</v>
      </c>
      <c r="CA26" s="821">
        <f>SUM(CA8,CA15)</f>
        <v>4.9568000000000001E-2</v>
      </c>
      <c r="CB26" s="806"/>
    </row>
    <row r="27" spans="1:84" x14ac:dyDescent="0.2">
      <c r="A27" s="738" t="s">
        <v>215</v>
      </c>
      <c r="B27" s="739"/>
      <c r="C27" s="822">
        <f>(I8+L8+O8+R8+U8+X8+AA8+AD8+AG8+AJ8+AM8+AP8+AS8+AV8+AY8+BB8+BE8+BH8+BK8+BN8+BQ8+BT8+BW8+BZ8)/SQRT((I8+L8+O8+R8+U8+X8+AA8+AD8+AG8+AJ8+AM8+AP8+AS8+AV8+AY8+BB8+BE8+BH8+BK8+BN8+BQ8+BT8+BW8+BZ8)^2+(J8+M8+P8+S8+V8+Y8+AB8+AE8+AH8+AK8+AN8+AQ8+AT8+AW8+BC8+AZ8+BF8+BI8+BL8+BO8+BR8+BU8+BX8+CA8)^2)</f>
        <v>0.99409974129253342</v>
      </c>
      <c r="D27" s="823" t="s">
        <v>216</v>
      </c>
      <c r="E27" s="2282">
        <f>(J8+M8+P8+S8+V8+Y8+AB8+AE8+AH8+AK8+AN8+AQ8+AT8+AW8+BC8+AZ8+BF8+BI8+BL8+BO8+BR8+BU8+BX8+CA8)/(I8+L8+O8+R8+U8+X8+AA8+AD8+AG8+AJ8+AM8+AP8+AS8+AV8+AY8+BB8+BE8+BH8+BK8+BN8+BQ8+BT8+BW8+BZ8)</f>
        <v>0.10911363022278994</v>
      </c>
      <c r="F27" s="2282"/>
      <c r="G27" s="825"/>
      <c r="H27" s="826"/>
      <c r="I27" s="825"/>
      <c r="J27" s="827"/>
      <c r="K27" s="826"/>
      <c r="L27" s="825"/>
      <c r="M27" s="827"/>
      <c r="N27" s="826"/>
      <c r="O27" s="825"/>
      <c r="P27" s="827"/>
      <c r="Q27" s="826"/>
      <c r="R27" s="825"/>
      <c r="S27" s="827"/>
      <c r="T27" s="826"/>
      <c r="U27" s="825"/>
      <c r="V27" s="827"/>
      <c r="W27" s="826"/>
      <c r="X27" s="825"/>
      <c r="Y27" s="827"/>
      <c r="Z27" s="826"/>
      <c r="AA27" s="825"/>
      <c r="AB27" s="827"/>
      <c r="AC27" s="826"/>
      <c r="AD27" s="825"/>
      <c r="AE27" s="827"/>
      <c r="AF27" s="826"/>
      <c r="AG27" s="825"/>
      <c r="AH27" s="827"/>
      <c r="AI27" s="826"/>
      <c r="AJ27" s="825"/>
      <c r="AK27" s="827"/>
      <c r="AL27" s="826"/>
      <c r="AM27" s="825"/>
      <c r="AN27" s="827"/>
      <c r="AO27" s="826"/>
      <c r="AP27" s="825"/>
      <c r="AQ27" s="827"/>
      <c r="AR27" s="826"/>
      <c r="AS27" s="825"/>
      <c r="AT27" s="827"/>
      <c r="AU27" s="826"/>
      <c r="AV27" s="825"/>
      <c r="AW27" s="827"/>
      <c r="AX27" s="826"/>
      <c r="AY27" s="825"/>
      <c r="AZ27" s="827"/>
      <c r="BA27" s="826"/>
      <c r="BB27" s="825"/>
      <c r="BC27" s="827"/>
      <c r="BD27" s="826"/>
      <c r="BE27" s="825"/>
      <c r="BF27" s="827"/>
      <c r="BG27" s="826"/>
      <c r="BH27" s="825"/>
      <c r="BI27" s="827"/>
      <c r="BJ27" s="826"/>
      <c r="BK27" s="825"/>
      <c r="BL27" s="827"/>
      <c r="BM27" s="826"/>
      <c r="BN27" s="825"/>
      <c r="BO27" s="827"/>
      <c r="BP27" s="826"/>
      <c r="BQ27" s="825"/>
      <c r="BR27" s="827"/>
      <c r="BS27" s="826"/>
      <c r="BT27" s="825"/>
      <c r="BU27" s="827"/>
      <c r="BV27" s="826"/>
      <c r="BW27" s="825"/>
      <c r="BX27" s="827"/>
      <c r="BY27" s="826"/>
      <c r="BZ27" s="825"/>
      <c r="CA27" s="827"/>
      <c r="CB27" s="806"/>
    </row>
    <row r="28" spans="1:84" ht="12.75" customHeight="1" thickBot="1" x14ac:dyDescent="0.25">
      <c r="A28" s="743" t="s">
        <v>217</v>
      </c>
      <c r="B28" s="828"/>
      <c r="C28" s="829">
        <f>(I15+L15+O15+R15+U15+X15+AA15+AD15+AG15+AJ15+AM15+AP15+AS15+AV15+AY15+BB15+BE15+BH15+BK15+BN15+BQ15+BT15+BW15+BZ15)/SQRT((I15+L15+O15+R15+U15+X15+AA15+AD15+AG15+AJ15+AM15+AP15+AS15+AV15+AY15+BB15+BE15+BH15+BK15+BN15+BQ15+BT15+BW15+BZ15)^2+(J15+M15+P15+S15+V15+Y15+AB15+AE15+AH15+AK15+AN15+AQ15+AT15+AW15+BC15+AZ15+BF15+BI15+BL15+BO15+BR15+BU15+BX15+CA15)^2)</f>
        <v>0.98879784898348633</v>
      </c>
      <c r="D28" s="830" t="s">
        <v>216</v>
      </c>
      <c r="E28" s="2283">
        <f>(J15+M15+P15+S15+V15+Y15+AB15+AE15+AH15+AK15+AN15+AQ15+AT15+AW15+BC15+AZ15+BF15+BI15+BL15+BO15+BR15+BU15+BX15+CA15)/(I15+L15+O15+R15+U15+X15+AA15+AD15+AG15+AJ15+AM15+AP15+AS15+AV15+AY15+BB15+BE15+BH15+BK15+BN15+BQ15+BT15+BW15+BZ15)</f>
        <v>0.15095187761197396</v>
      </c>
      <c r="F28" s="2283"/>
      <c r="G28" s="828"/>
      <c r="H28" s="831"/>
      <c r="I28" s="828"/>
      <c r="J28" s="832"/>
      <c r="K28" s="831"/>
      <c r="L28" s="828"/>
      <c r="M28" s="832"/>
      <c r="N28" s="831"/>
      <c r="O28" s="828"/>
      <c r="P28" s="832"/>
      <c r="Q28" s="831"/>
      <c r="R28" s="828"/>
      <c r="S28" s="832"/>
      <c r="T28" s="831"/>
      <c r="U28" s="828"/>
      <c r="V28" s="832"/>
      <c r="W28" s="831"/>
      <c r="X28" s="828"/>
      <c r="Y28" s="832"/>
      <c r="Z28" s="831"/>
      <c r="AA28" s="828"/>
      <c r="AB28" s="832"/>
      <c r="AC28" s="831"/>
      <c r="AD28" s="828"/>
      <c r="AE28" s="832"/>
      <c r="AF28" s="831"/>
      <c r="AG28" s="828"/>
      <c r="AH28" s="832"/>
      <c r="AI28" s="831"/>
      <c r="AJ28" s="828"/>
      <c r="AK28" s="832"/>
      <c r="AL28" s="831"/>
      <c r="AM28" s="828"/>
      <c r="AN28" s="832"/>
      <c r="AO28" s="831"/>
      <c r="AP28" s="828"/>
      <c r="AQ28" s="832"/>
      <c r="AR28" s="831"/>
      <c r="AS28" s="828"/>
      <c r="AT28" s="832"/>
      <c r="AU28" s="831"/>
      <c r="AV28" s="828"/>
      <c r="AW28" s="832"/>
      <c r="AX28" s="831"/>
      <c r="AY28" s="828"/>
      <c r="AZ28" s="832"/>
      <c r="BA28" s="831"/>
      <c r="BB28" s="828"/>
      <c r="BC28" s="832"/>
      <c r="BD28" s="831"/>
      <c r="BE28" s="828"/>
      <c r="BF28" s="832"/>
      <c r="BG28" s="831"/>
      <c r="BH28" s="828"/>
      <c r="BI28" s="832"/>
      <c r="BJ28" s="831"/>
      <c r="BK28" s="828"/>
      <c r="BL28" s="832"/>
      <c r="BM28" s="831"/>
      <c r="BN28" s="828"/>
      <c r="BO28" s="832"/>
      <c r="BP28" s="831"/>
      <c r="BQ28" s="828"/>
      <c r="BR28" s="832"/>
      <c r="BS28" s="831"/>
      <c r="BT28" s="828"/>
      <c r="BU28" s="832"/>
      <c r="BV28" s="831"/>
      <c r="BW28" s="828"/>
      <c r="BX28" s="832"/>
      <c r="BY28" s="831"/>
      <c r="BZ28" s="828"/>
      <c r="CA28" s="832"/>
      <c r="CB28" s="806"/>
    </row>
    <row r="29" spans="1:84" x14ac:dyDescent="0.2">
      <c r="A29" s="2284" t="s">
        <v>40</v>
      </c>
      <c r="B29" s="2285"/>
      <c r="C29" s="2286"/>
      <c r="D29" s="2287" t="s">
        <v>5</v>
      </c>
      <c r="E29" s="2288"/>
      <c r="F29" s="2289" t="s">
        <v>6</v>
      </c>
      <c r="G29" s="2290"/>
      <c r="H29" s="551" t="s">
        <v>4</v>
      </c>
      <c r="I29" s="552" t="s">
        <v>9</v>
      </c>
      <c r="J29" s="553" t="s">
        <v>10</v>
      </c>
      <c r="K29" s="551" t="s">
        <v>4</v>
      </c>
      <c r="L29" s="552" t="s">
        <v>9</v>
      </c>
      <c r="M29" s="553" t="s">
        <v>10</v>
      </c>
      <c r="N29" s="551" t="s">
        <v>4</v>
      </c>
      <c r="O29" s="552" t="s">
        <v>9</v>
      </c>
      <c r="P29" s="553" t="s">
        <v>10</v>
      </c>
      <c r="Q29" s="551" t="s">
        <v>4</v>
      </c>
      <c r="R29" s="552" t="s">
        <v>9</v>
      </c>
      <c r="S29" s="553" t="s">
        <v>10</v>
      </c>
      <c r="T29" s="551" t="s">
        <v>4</v>
      </c>
      <c r="U29" s="552" t="s">
        <v>9</v>
      </c>
      <c r="V29" s="553" t="s">
        <v>10</v>
      </c>
      <c r="W29" s="551" t="s">
        <v>4</v>
      </c>
      <c r="X29" s="552" t="s">
        <v>9</v>
      </c>
      <c r="Y29" s="553" t="s">
        <v>10</v>
      </c>
      <c r="Z29" s="551" t="s">
        <v>4</v>
      </c>
      <c r="AA29" s="552" t="s">
        <v>9</v>
      </c>
      <c r="AB29" s="553" t="s">
        <v>10</v>
      </c>
      <c r="AC29" s="551" t="s">
        <v>4</v>
      </c>
      <c r="AD29" s="552" t="s">
        <v>9</v>
      </c>
      <c r="AE29" s="553" t="s">
        <v>10</v>
      </c>
      <c r="AF29" s="551" t="s">
        <v>4</v>
      </c>
      <c r="AG29" s="552" t="s">
        <v>9</v>
      </c>
      <c r="AH29" s="553" t="s">
        <v>10</v>
      </c>
      <c r="AI29" s="551" t="s">
        <v>4</v>
      </c>
      <c r="AJ29" s="552" t="s">
        <v>9</v>
      </c>
      <c r="AK29" s="553" t="s">
        <v>10</v>
      </c>
      <c r="AL29" s="551" t="s">
        <v>4</v>
      </c>
      <c r="AM29" s="552" t="s">
        <v>9</v>
      </c>
      <c r="AN29" s="553" t="s">
        <v>10</v>
      </c>
      <c r="AO29" s="551" t="s">
        <v>4</v>
      </c>
      <c r="AP29" s="552" t="s">
        <v>9</v>
      </c>
      <c r="AQ29" s="553" t="s">
        <v>10</v>
      </c>
      <c r="AR29" s="551" t="s">
        <v>4</v>
      </c>
      <c r="AS29" s="552" t="s">
        <v>9</v>
      </c>
      <c r="AT29" s="553" t="s">
        <v>10</v>
      </c>
      <c r="AU29" s="551" t="s">
        <v>4</v>
      </c>
      <c r="AV29" s="552" t="s">
        <v>9</v>
      </c>
      <c r="AW29" s="553" t="s">
        <v>10</v>
      </c>
      <c r="AX29" s="551" t="s">
        <v>4</v>
      </c>
      <c r="AY29" s="552" t="s">
        <v>9</v>
      </c>
      <c r="AZ29" s="553" t="s">
        <v>10</v>
      </c>
      <c r="BA29" s="551" t="s">
        <v>4</v>
      </c>
      <c r="BB29" s="552" t="s">
        <v>9</v>
      </c>
      <c r="BC29" s="553" t="s">
        <v>10</v>
      </c>
      <c r="BD29" s="551" t="s">
        <v>4</v>
      </c>
      <c r="BE29" s="552" t="s">
        <v>9</v>
      </c>
      <c r="BF29" s="553" t="s">
        <v>10</v>
      </c>
      <c r="BG29" s="551" t="s">
        <v>4</v>
      </c>
      <c r="BH29" s="552" t="s">
        <v>9</v>
      </c>
      <c r="BI29" s="553" t="s">
        <v>10</v>
      </c>
      <c r="BJ29" s="551" t="s">
        <v>4</v>
      </c>
      <c r="BK29" s="552" t="s">
        <v>9</v>
      </c>
      <c r="BL29" s="553" t="s">
        <v>10</v>
      </c>
      <c r="BM29" s="551" t="s">
        <v>4</v>
      </c>
      <c r="BN29" s="552" t="s">
        <v>9</v>
      </c>
      <c r="BO29" s="553" t="s">
        <v>10</v>
      </c>
      <c r="BP29" s="551" t="s">
        <v>4</v>
      </c>
      <c r="BQ29" s="552" t="s">
        <v>9</v>
      </c>
      <c r="BR29" s="553" t="s">
        <v>10</v>
      </c>
      <c r="BS29" s="551" t="s">
        <v>4</v>
      </c>
      <c r="BT29" s="552" t="s">
        <v>9</v>
      </c>
      <c r="BU29" s="553" t="s">
        <v>10</v>
      </c>
      <c r="BV29" s="551" t="s">
        <v>4</v>
      </c>
      <c r="BW29" s="552" t="s">
        <v>9</v>
      </c>
      <c r="BX29" s="553" t="s">
        <v>10</v>
      </c>
      <c r="BY29" s="551" t="s">
        <v>4</v>
      </c>
      <c r="BZ29" s="552" t="s">
        <v>9</v>
      </c>
      <c r="CA29" s="553" t="s">
        <v>10</v>
      </c>
      <c r="CB29" s="806"/>
    </row>
    <row r="30" spans="1:84" ht="13.5" thickBot="1" x14ac:dyDescent="0.25">
      <c r="A30" s="2291" t="s">
        <v>210</v>
      </c>
      <c r="B30" s="2291"/>
      <c r="C30" s="2292"/>
      <c r="D30" s="833" t="s">
        <v>7</v>
      </c>
      <c r="E30" s="834" t="s">
        <v>8</v>
      </c>
      <c r="F30" s="834" t="s">
        <v>7</v>
      </c>
      <c r="G30" s="835" t="s">
        <v>8</v>
      </c>
      <c r="H30" s="556" t="s">
        <v>30</v>
      </c>
      <c r="I30" s="557" t="s">
        <v>31</v>
      </c>
      <c r="J30" s="558" t="s">
        <v>32</v>
      </c>
      <c r="K30" s="556" t="s">
        <v>30</v>
      </c>
      <c r="L30" s="557" t="s">
        <v>31</v>
      </c>
      <c r="M30" s="558" t="s">
        <v>32</v>
      </c>
      <c r="N30" s="556" t="s">
        <v>30</v>
      </c>
      <c r="O30" s="557" t="s">
        <v>31</v>
      </c>
      <c r="P30" s="558" t="s">
        <v>32</v>
      </c>
      <c r="Q30" s="556" t="s">
        <v>30</v>
      </c>
      <c r="R30" s="557" t="s">
        <v>31</v>
      </c>
      <c r="S30" s="558" t="s">
        <v>32</v>
      </c>
      <c r="T30" s="556" t="s">
        <v>30</v>
      </c>
      <c r="U30" s="557" t="s">
        <v>31</v>
      </c>
      <c r="V30" s="558" t="s">
        <v>32</v>
      </c>
      <c r="W30" s="556" t="s">
        <v>30</v>
      </c>
      <c r="X30" s="557" t="s">
        <v>31</v>
      </c>
      <c r="Y30" s="558" t="s">
        <v>32</v>
      </c>
      <c r="Z30" s="556" t="s">
        <v>30</v>
      </c>
      <c r="AA30" s="557" t="s">
        <v>31</v>
      </c>
      <c r="AB30" s="558" t="s">
        <v>32</v>
      </c>
      <c r="AC30" s="556" t="s">
        <v>30</v>
      </c>
      <c r="AD30" s="557" t="s">
        <v>31</v>
      </c>
      <c r="AE30" s="558" t="s">
        <v>32</v>
      </c>
      <c r="AF30" s="556" t="s">
        <v>30</v>
      </c>
      <c r="AG30" s="557" t="s">
        <v>31</v>
      </c>
      <c r="AH30" s="558" t="s">
        <v>32</v>
      </c>
      <c r="AI30" s="556" t="s">
        <v>30</v>
      </c>
      <c r="AJ30" s="557" t="s">
        <v>31</v>
      </c>
      <c r="AK30" s="558" t="s">
        <v>32</v>
      </c>
      <c r="AL30" s="556" t="s">
        <v>30</v>
      </c>
      <c r="AM30" s="557" t="s">
        <v>31</v>
      </c>
      <c r="AN30" s="558" t="s">
        <v>32</v>
      </c>
      <c r="AO30" s="556" t="s">
        <v>30</v>
      </c>
      <c r="AP30" s="557" t="s">
        <v>31</v>
      </c>
      <c r="AQ30" s="558" t="s">
        <v>32</v>
      </c>
      <c r="AR30" s="556" t="s">
        <v>30</v>
      </c>
      <c r="AS30" s="557" t="s">
        <v>31</v>
      </c>
      <c r="AT30" s="558" t="s">
        <v>32</v>
      </c>
      <c r="AU30" s="556" t="s">
        <v>30</v>
      </c>
      <c r="AV30" s="557" t="s">
        <v>31</v>
      </c>
      <c r="AW30" s="558" t="s">
        <v>32</v>
      </c>
      <c r="AX30" s="556" t="s">
        <v>30</v>
      </c>
      <c r="AY30" s="557" t="s">
        <v>31</v>
      </c>
      <c r="AZ30" s="558" t="s">
        <v>32</v>
      </c>
      <c r="BA30" s="556" t="s">
        <v>30</v>
      </c>
      <c r="BB30" s="557" t="s">
        <v>31</v>
      </c>
      <c r="BC30" s="558" t="s">
        <v>32</v>
      </c>
      <c r="BD30" s="556" t="s">
        <v>30</v>
      </c>
      <c r="BE30" s="557" t="s">
        <v>31</v>
      </c>
      <c r="BF30" s="558" t="s">
        <v>32</v>
      </c>
      <c r="BG30" s="556" t="s">
        <v>30</v>
      </c>
      <c r="BH30" s="557" t="s">
        <v>31</v>
      </c>
      <c r="BI30" s="558" t="s">
        <v>32</v>
      </c>
      <c r="BJ30" s="556" t="s">
        <v>30</v>
      </c>
      <c r="BK30" s="557" t="s">
        <v>31</v>
      </c>
      <c r="BL30" s="558" t="s">
        <v>32</v>
      </c>
      <c r="BM30" s="556" t="s">
        <v>30</v>
      </c>
      <c r="BN30" s="557" t="s">
        <v>31</v>
      </c>
      <c r="BO30" s="558" t="s">
        <v>32</v>
      </c>
      <c r="BP30" s="556" t="s">
        <v>30</v>
      </c>
      <c r="BQ30" s="557" t="s">
        <v>31</v>
      </c>
      <c r="BR30" s="558" t="s">
        <v>32</v>
      </c>
      <c r="BS30" s="556" t="s">
        <v>30</v>
      </c>
      <c r="BT30" s="557" t="s">
        <v>31</v>
      </c>
      <c r="BU30" s="558" t="s">
        <v>32</v>
      </c>
      <c r="BV30" s="556" t="s">
        <v>30</v>
      </c>
      <c r="BW30" s="557" t="s">
        <v>31</v>
      </c>
      <c r="BX30" s="558" t="s">
        <v>32</v>
      </c>
      <c r="BY30" s="556" t="s">
        <v>30</v>
      </c>
      <c r="BZ30" s="557" t="s">
        <v>31</v>
      </c>
      <c r="CA30" s="558" t="s">
        <v>32</v>
      </c>
      <c r="CB30" s="836"/>
      <c r="CC30" s="837"/>
    </row>
    <row r="31" spans="1:84" s="850" customFormat="1" ht="12" customHeight="1" x14ac:dyDescent="0.2">
      <c r="A31" s="838" t="s">
        <v>218</v>
      </c>
      <c r="B31" s="839"/>
      <c r="C31" s="840"/>
      <c r="D31" s="841"/>
      <c r="E31" s="841"/>
      <c r="F31" s="841"/>
      <c r="G31" s="842"/>
      <c r="H31" s="843">
        <f>ROUND(SQRT(I31^2+J31^2)*1000/(SQRT(3)*I11),2)</f>
        <v>11.52</v>
      </c>
      <c r="I31" s="844">
        <f>VLOOKUP($A31,[2]Главная!$A$14:$BA$18,MATCH(H$4,[2]Главная!$A$6:$BA$6,0),FALSE)/1000</f>
        <v>0.2</v>
      </c>
      <c r="J31" s="757">
        <f>VLOOKUP($A31,[2]Главная!$A$26:$BA$30,MATCH(H$4,[2]Главная!$A$6:$BA$6,0),FALSE)/1000</f>
        <v>2.4799999999999996E-2</v>
      </c>
      <c r="K31" s="845">
        <f>ROUND(SQRT(L31^2+M31^2)*1000/(SQRT(3)*L11),2)</f>
        <v>11.28</v>
      </c>
      <c r="L31" s="845">
        <f>VLOOKUP($A31,[2]Главная!$A$14:$BA$18,MATCH(K$4,[2]Главная!$A$6:$BA$6,0),FALSE)/1000</f>
        <v>0.19600000000000001</v>
      </c>
      <c r="M31" s="846">
        <f>VLOOKUP($A31,[2]Главная!$A$26:$BA$30,MATCH(K$4,[2]Главная!$A$6:$BA$6,0),FALSE)/1000</f>
        <v>2.2799999999999997E-2</v>
      </c>
      <c r="N31" s="843">
        <f>ROUND(SQRT(O31^2+P31^2)*1000/(SQRT(3)*O11),2)</f>
        <v>11.02</v>
      </c>
      <c r="O31" s="844">
        <f>VLOOKUP($A31,[2]Главная!$A$14:$BA$18,MATCH(N$4,[2]Главная!$A$6:$BA$6,0),FALSE)/1000</f>
        <v>0.19160000000000002</v>
      </c>
      <c r="P31" s="757">
        <f>VLOOKUP($A31,[2]Главная!$A$26:$BA$30,MATCH(N$4,[2]Главная!$A$6:$BA$6,0),FALSE)/1000</f>
        <v>2.12E-2</v>
      </c>
      <c r="Q31" s="843">
        <f>ROUND(SQRT(R31^2+S31^2)*1000/(SQRT(3)*R11),2)</f>
        <v>10.83</v>
      </c>
      <c r="R31" s="844">
        <f>VLOOKUP($A31,[2]Главная!$A$14:$BA$18,MATCH(Q$4,[2]Главная!$A$6:$BA$6,0),FALSE)/1000</f>
        <v>0.18819999999999998</v>
      </c>
      <c r="S31" s="757">
        <f>VLOOKUP($A31,[2]Главная!$A$26:$BA$30,MATCH(Q$4,[2]Главная!$A$6:$BA$6,0),FALSE)/1000</f>
        <v>2.12E-2</v>
      </c>
      <c r="T31" s="845">
        <f>ROUND(SQRT(U31^2+V31^2)*1000/(SQRT(3)*U11),2)</f>
        <v>10.77</v>
      </c>
      <c r="U31" s="845">
        <f>VLOOKUP($A31,[2]Главная!$A$14:$BA$18,MATCH(T$4,[2]Главная!$A$6:$BA$6,0),FALSE)/1000</f>
        <v>0.18719999999999998</v>
      </c>
      <c r="V31" s="846">
        <f>VLOOKUP($A31,[2]Главная!$A$26:$BA$30,MATCH(T$4,[2]Главная!$A$6:$BA$6,0),FALSE)/1000</f>
        <v>2.1000000000000001E-2</v>
      </c>
      <c r="W31" s="843">
        <f>ROUND(SQRT(X31^2+Y31^2)*1000/(SQRT(3)*X11),2)</f>
        <v>10.86</v>
      </c>
      <c r="X31" s="844">
        <f>VLOOKUP($A31,[2]Главная!$A$14:$BA$18,MATCH(W$4,[2]Главная!$A$6:$BA$6,0),FALSE)/1000</f>
        <v>0.189</v>
      </c>
      <c r="Y31" s="757">
        <f>VLOOKUP($A31,[2]Главная!$A$26:$BA$30,MATCH(W$4,[2]Главная!$A$6:$BA$6,0),FALSE)/1000</f>
        <v>1.9399999999999997E-2</v>
      </c>
      <c r="Z31" s="845">
        <f>ROUND(SQRT(AA31^2+AB31^2)*1000/(SQRT(3)*AA11),2)</f>
        <v>11.63</v>
      </c>
      <c r="AA31" s="845">
        <f>VLOOKUP($A31,[2]Главная!$A$14:$BA$18,MATCH(Z$4,[2]Главная!$A$6:$BA$6,0),FALSE)/1000</f>
        <v>0.20239999999999997</v>
      </c>
      <c r="AB31" s="845">
        <f>VLOOKUP($A31,[2]Главная!$A$26:$BA$30,MATCH(Z$4,[2]Главная!$A$6:$BA$6,0),FALSE)/1000</f>
        <v>2.1000000000000001E-2</v>
      </c>
      <c r="AC31" s="845">
        <f>ROUND(SQRT(AD31^2+AE31^2)*1000/(SQRT(3)*AD11),2)</f>
        <v>12.09</v>
      </c>
      <c r="AD31" s="845">
        <f>VLOOKUP($A31,[2]Главная!$A$14:$BA$18,MATCH(AC$4,[2]Главная!$A$6:$BA$6,0),FALSE)/1000</f>
        <v>0.21059999999999998</v>
      </c>
      <c r="AE31" s="845">
        <f>VLOOKUP($A31,[2]Главная!$A$26:$BA$30,MATCH(AC$4,[2]Главная!$A$6:$BA$6,0),FALSE)/1000</f>
        <v>1.9E-2</v>
      </c>
      <c r="AF31" s="845">
        <f>ROUND(SQRT(AG31^2+AH31^2)*1000/(SQRT(3)*AG11),2)</f>
        <v>11.79</v>
      </c>
      <c r="AG31" s="845">
        <f>VLOOKUP($A31,[2]Главная!$A$14:$BA$18,MATCH(AF$4,[2]Главная!$A$6:$BA$6,0),FALSE)/1000</f>
        <v>0.2054</v>
      </c>
      <c r="AH31" s="846">
        <f>VLOOKUP($A31,[2]Главная!$A$26:$BA$30,MATCH(AF$4,[2]Главная!$A$6:$BA$6,0),FALSE)/1000</f>
        <v>1.8600000000000002E-2</v>
      </c>
      <c r="AI31" s="843">
        <f>ROUND(SQRT(AJ31^2+AK31^2)*1000/(SQRT(3)*AJ11),2)</f>
        <v>12.05</v>
      </c>
      <c r="AJ31" s="844">
        <f>VLOOKUP($A31,[2]Главная!$A$14:$BA$18,MATCH(AI$4,[2]Главная!$A$6:$BA$6,0),FALSE)/1000</f>
        <v>0.20980000000000001</v>
      </c>
      <c r="AK31" s="757">
        <f>VLOOKUP($A31,[2]Главная!$A$26:$BA$30,MATCH(AI$4,[2]Главная!$A$6:$BA$6,0),FALSE)/1000</f>
        <v>2.1000000000000001E-2</v>
      </c>
      <c r="AL31" s="845">
        <f>ROUND(SQRT(AM31^2+AN31^2)*1000/(SQRT(3)*AM11),2)</f>
        <v>11.73</v>
      </c>
      <c r="AM31" s="845">
        <f>VLOOKUP($A31,[2]Главная!$A$14:$BA$18,MATCH(AL$4,[2]Главная!$A$6:$BA$6,0),FALSE)/1000</f>
        <v>0.20360000000000003</v>
      </c>
      <c r="AN31" s="846">
        <f>VLOOKUP($A31,[2]Главная!$A$26:$BA$30,MATCH(AL$4,[2]Главная!$A$6:$BA$6,0),FALSE)/1000</f>
        <v>2.5600000000000001E-2</v>
      </c>
      <c r="AO31" s="843">
        <f>ROUND(SQRT(AP31^2+AQ31^2)*1000/(SQRT(3)*AP11),2)</f>
        <v>11.56</v>
      </c>
      <c r="AP31" s="844">
        <f>VLOOKUP($A31,[2]Главная!$A$14:$BA$18,MATCH(AO$4,[2]Главная!$A$6:$BA$6,0),FALSE)/1000</f>
        <v>0.2006</v>
      </c>
      <c r="AQ31" s="757">
        <f>VLOOKUP($A31,[2]Главная!$A$26:$BA$30,MATCH(AO$4,[2]Главная!$A$6:$BA$6,0),FALSE)/1000</f>
        <v>2.5200000000000004E-2</v>
      </c>
      <c r="AR31" s="845">
        <f>ROUND(SQRT(AS31^2+AT31^2)*1000/(SQRT(3)*AS11),2)</f>
        <v>11.68</v>
      </c>
      <c r="AS31" s="845">
        <f>VLOOKUP($A31,[2]Главная!$A$14:$BA$18,MATCH(AR$4,[2]Главная!$A$6:$BA$6,0),FALSE)/1000</f>
        <v>0.2026</v>
      </c>
      <c r="AT31" s="846">
        <f>VLOOKUP($A31,[2]Главная!$A$26:$BA$30,MATCH(AR$4,[2]Главная!$A$6:$BA$6,0),FALSE)/1000</f>
        <v>2.5999999999999999E-2</v>
      </c>
      <c r="AU31" s="843">
        <f>ROUND(SQRT(AV31^2+AW31^2)*1000/(SQRT(3)*AV11),2)</f>
        <v>11.78</v>
      </c>
      <c r="AV31" s="844">
        <f>VLOOKUP($A31,[2]Главная!$A$14:$BA$18,MATCH(AU$4,[2]Главная!$A$6:$BA$6,0),FALSE)/1000</f>
        <v>0.20460000000000003</v>
      </c>
      <c r="AW31" s="757">
        <f>VLOOKUP($A31,[2]Главная!$A$26:$BA$30,MATCH(AU$4,[2]Главная!$A$6:$BA$6,0),FALSE)/1000</f>
        <v>2.52E-2</v>
      </c>
      <c r="AX31" s="845">
        <f>ROUND(SQRT(AY31^2+AZ31^2)*1000/(SQRT(3)*AY11),2)</f>
        <v>11.79</v>
      </c>
      <c r="AY31" s="845">
        <f>VLOOKUP($A31,[2]Главная!$A$14:$BA$18,MATCH(AX$4,[2]Главная!$A$6:$BA$6,0),FALSE)/1000</f>
        <v>0.2046</v>
      </c>
      <c r="AZ31" s="846">
        <f>VLOOKUP($A31,[2]Главная!$A$26:$BA$30,MATCH(AX$4,[2]Главная!$A$6:$BA$6,0),FALSE)/1000</f>
        <v>2.5600000000000001E-2</v>
      </c>
      <c r="BA31" s="843">
        <f>ROUND(SQRT(BB31^2+BC31^2)*1000/(SQRT(3)*BB11),2)</f>
        <v>12.36</v>
      </c>
      <c r="BB31" s="844">
        <f>VLOOKUP($A31,[2]Главная!$A$14:$BA$18,MATCH(BA$4,[2]Главная!$A$6:$BA$6,0),FALSE)/1000</f>
        <v>0.215</v>
      </c>
      <c r="BC31" s="757">
        <f>VLOOKUP($A31,[2]Главная!$A$26:$BA$30,MATCH(BA$4,[2]Главная!$A$6:$BA$6,0),FALSE)/1000</f>
        <v>2.2799999999999997E-2</v>
      </c>
      <c r="BD31" s="845">
        <f>ROUND(SQRT(BE31^2+BF31^2)*1000/(SQRT(3)*BE11),2)</f>
        <v>12.97</v>
      </c>
      <c r="BE31" s="845">
        <f>VLOOKUP($A31,[2]Главная!$A$14:$BA$18,MATCH(BD$4,[2]Главная!$A$6:$BA$6,0),FALSE)/1000</f>
        <v>0.2258</v>
      </c>
      <c r="BF31" s="846">
        <f>VLOOKUP($A31,[2]Главная!$A$26:$BA$30,MATCH(BD$4,[2]Главная!$A$6:$BA$6,0),FALSE)/1000</f>
        <v>2.1600000000000001E-2</v>
      </c>
      <c r="BG31" s="843">
        <f>ROUND(SQRT(BH31^2+BI31^2)*1000/(SQRT(3)*BH11),2)</f>
        <v>13.07</v>
      </c>
      <c r="BH31" s="844">
        <f>VLOOKUP($A31,[2]Главная!$A$14:$BA$18,MATCH(BG$4,[2]Главная!$A$6:$BA$6,0),FALSE)/1000</f>
        <v>0.2278</v>
      </c>
      <c r="BI31" s="757">
        <f>VLOOKUP($A31,[2]Главная!$A$26:$BA$30,MATCH(BG$4,[2]Главная!$A$6:$BA$6,0),FALSE)/1000</f>
        <v>2.0399999999999998E-2</v>
      </c>
      <c r="BJ31" s="845">
        <f>ROUND(SQRT(BK31^2+BL31^2)*1000/(SQRT(3)*BK11),2)</f>
        <v>13.26</v>
      </c>
      <c r="BK31" s="845">
        <f>VLOOKUP($A31,[2]Главная!$A$14:$BA$18,MATCH(BJ$4,[2]Главная!$A$6:$BA$6,0),FALSE)/1000</f>
        <v>0.23100000000000001</v>
      </c>
      <c r="BL31" s="846">
        <f>VLOOKUP($A31,[2]Главная!$A$26:$BA$30,MATCH(BJ$4,[2]Главная!$A$6:$BA$6,0),FALSE)/1000</f>
        <v>2.0799999999999996E-2</v>
      </c>
      <c r="BM31" s="843">
        <f>ROUND(SQRT(BN31^2+BO31^2)*1000/(SQRT(3)*BN11),2)</f>
        <v>13.11</v>
      </c>
      <c r="BN31" s="844">
        <f>VLOOKUP($A31,[2]Главная!$A$14:$BA$18,MATCH(BM$4,[2]Главная!$A$6:$BA$6,0),FALSE)/1000</f>
        <v>0.22839999999999999</v>
      </c>
      <c r="BO31" s="757">
        <f>VLOOKUP($A31,[2]Главная!$A$26:$BA$30,MATCH(BM$4,[2]Главная!$A$6:$BA$6,0),FALSE)/1000</f>
        <v>2.0399999999999998E-2</v>
      </c>
      <c r="BP31" s="845">
        <f>ROUND(SQRT(BQ31^2+BR31^2)*1000/(SQRT(3)*BQ11),2)</f>
        <v>12.9</v>
      </c>
      <c r="BQ31" s="845">
        <f>VLOOKUP($A31,[2]Главная!$A$14:$BA$18,MATCH(BP$4,[2]Главная!$A$6:$BA$6,0),FALSE)/1000</f>
        <v>0.22459999999999999</v>
      </c>
      <c r="BR31" s="846">
        <f>VLOOKUP($A31,[2]Главная!$A$26:$BA$30,MATCH(BP$4,[2]Главная!$A$6:$BA$6,0),FALSE)/1000</f>
        <v>2.2600000000000002E-2</v>
      </c>
      <c r="BS31" s="843">
        <f>ROUND(SQRT(BT31^2+BU31^2)*1000/(SQRT(3)*BT11),2)</f>
        <v>12.59</v>
      </c>
      <c r="BT31" s="844">
        <f>VLOOKUP($A31,[2]Главная!$A$14:$BA$18,MATCH(BS$4,[2]Главная!$A$6:$BA$6,0),FALSE)/1000</f>
        <v>0.21919999999999998</v>
      </c>
      <c r="BU31" s="757">
        <f>VLOOKUP($A31,[2]Главная!$A$26:$BA$30,MATCH(BS$4,[2]Главная!$A$6:$BA$6,0),FALSE)/1000</f>
        <v>2.1999999999999999E-2</v>
      </c>
      <c r="BV31" s="843">
        <f>ROUND(SQRT(BW31^2+BX31^2)*1000/(SQRT(3)*BW11),2)</f>
        <v>11.93</v>
      </c>
      <c r="BW31" s="844">
        <f>VLOOKUP($A31,[2]Главная!$A$14:$BA$18,MATCH(BV$4,[2]Главная!$A$6:$BA$6,0),FALSE)/1000</f>
        <v>0.2072</v>
      </c>
      <c r="BX31" s="757">
        <f>VLOOKUP($A31,[2]Главная!$A$26:$BA$30,MATCH(BV$4,[2]Главная!$A$6:$BA$6,0),FALSE)/1000</f>
        <v>2.4399999999999998E-2</v>
      </c>
      <c r="BY31" s="845">
        <f>ROUND(SQRT(BZ31^2+CA31^2)*1000/(SQRT(3)*BZ11),2)</f>
        <v>11.46</v>
      </c>
      <c r="BZ31" s="845">
        <f>VLOOKUP($A31,[2]Главная!$A$14:$BA$18,MATCH(BY$4,[2]Главная!$A$6:$BA$6,0),FALSE)/1000</f>
        <v>0.19900000000000001</v>
      </c>
      <c r="CA31" s="845">
        <f>VLOOKUP($A31,[2]Главная!$A$26:$BA$30,MATCH(BY$4,[2]Главная!$A$6:$BA$6,0),FALSE)/1000</f>
        <v>2.4E-2</v>
      </c>
      <c r="CB31" s="847">
        <f t="shared" ref="CB31:CC33" si="0">SUM(BZ31,BW31,BT31,BQ31,BN31,BK31,BH31,BE31,BB31,AY31,AV31,AS31,AP31,AM31,AJ31,AG31,AD31,AA31,X31,U31,R31,O31,L31,I31)</f>
        <v>4.9742000000000006</v>
      </c>
      <c r="CC31" s="848">
        <f t="shared" si="0"/>
        <v>0.53660000000000008</v>
      </c>
      <c r="CD31" s="849"/>
      <c r="CE31" s="849"/>
      <c r="CF31" s="849"/>
    </row>
    <row r="32" spans="1:84" x14ac:dyDescent="0.2">
      <c r="A32" s="851" t="s">
        <v>219</v>
      </c>
      <c r="B32" s="759"/>
      <c r="C32" s="852"/>
      <c r="D32" s="853"/>
      <c r="E32" s="854"/>
      <c r="F32" s="853"/>
      <c r="G32" s="855"/>
      <c r="H32" s="856">
        <v>0</v>
      </c>
      <c r="I32" s="845">
        <f>VLOOKUP($A32,[2]Главная!$A$14:$BA$18,MATCH(H$4,[2]Главная!$A$6:$BA$6,0),FALSE)/1000</f>
        <v>0</v>
      </c>
      <c r="J32" s="857">
        <f>VLOOKUP($A32,[2]Главная!$A$26:$BA$30,MATCH(H$4,[2]Главная!$A$6:$BA$6,0),FALSE)/1000</f>
        <v>0</v>
      </c>
      <c r="K32" s="858">
        <v>0</v>
      </c>
      <c r="L32" s="845">
        <f>VLOOKUP($A32,[2]Главная!$A$14:$BA$18,MATCH(K$4,[2]Главная!$A$6:$BA$6,0),FALSE)/1000</f>
        <v>0</v>
      </c>
      <c r="M32" s="846">
        <f>VLOOKUP($A32,[2]Главная!$A$26:$BA$30,MATCH(K$4,[2]Главная!$A$6:$BA$6,0),FALSE)/1000</f>
        <v>0</v>
      </c>
      <c r="N32" s="856">
        <v>0</v>
      </c>
      <c r="O32" s="845">
        <f>VLOOKUP($A32,[2]Главная!$A$14:$BA$18,MATCH(N$4,[2]Главная!$A$6:$BA$6,0),FALSE)/1000</f>
        <v>0</v>
      </c>
      <c r="P32" s="857">
        <f>VLOOKUP($A32,[2]Главная!$A$26:$BA$30,MATCH(N$4,[2]Главная!$A$6:$BA$6,0),FALSE)/1000</f>
        <v>0</v>
      </c>
      <c r="Q32" s="856">
        <v>0</v>
      </c>
      <c r="R32" s="845">
        <f>VLOOKUP($A32,[2]Главная!$A$14:$BA$18,MATCH(Q$4,[2]Главная!$A$6:$BA$6,0),FALSE)/1000</f>
        <v>0</v>
      </c>
      <c r="S32" s="857">
        <f>VLOOKUP($A32,[2]Главная!$A$26:$BA$30,MATCH(Q$4,[2]Главная!$A$6:$BA$6,0),FALSE)/1000</f>
        <v>0</v>
      </c>
      <c r="T32" s="858">
        <v>0</v>
      </c>
      <c r="U32" s="845">
        <f>VLOOKUP($A32,[2]Главная!$A$14:$BA$18,MATCH(T$4,[2]Главная!$A$6:$BA$6,0),FALSE)/1000</f>
        <v>0</v>
      </c>
      <c r="V32" s="846">
        <f>VLOOKUP($A32,[2]Главная!$A$26:$BA$30,MATCH(T$4,[2]Главная!$A$6:$BA$6,0),FALSE)/1000</f>
        <v>0</v>
      </c>
      <c r="W32" s="856">
        <v>0</v>
      </c>
      <c r="X32" s="845">
        <f>VLOOKUP($A32,[2]Главная!$A$14:$BA$18,MATCH(W$4,[2]Главная!$A$6:$BA$6,0),FALSE)/1000</f>
        <v>0</v>
      </c>
      <c r="Y32" s="857">
        <f>VLOOKUP($A32,[2]Главная!$A$26:$BA$30,MATCH(W$4,[2]Главная!$A$6:$BA$6,0),FALSE)/1000</f>
        <v>0</v>
      </c>
      <c r="Z32" s="858">
        <v>0</v>
      </c>
      <c r="AA32" s="845">
        <f>VLOOKUP($A32,[2]Главная!$A$14:$BA$18,MATCH(Z$4,[2]Главная!$A$6:$BA$6,0),FALSE)/1000</f>
        <v>0</v>
      </c>
      <c r="AB32" s="845">
        <f>VLOOKUP($A32,[2]Главная!$A$26:$BA$30,MATCH(Z$4,[2]Главная!$A$6:$BA$6,0),FALSE)/1000</f>
        <v>0</v>
      </c>
      <c r="AC32" s="856">
        <v>0</v>
      </c>
      <c r="AD32" s="845">
        <f>VLOOKUP($A32,[2]Главная!$A$14:$BA$18,MATCH(AC$4,[2]Главная!$A$6:$BA$6,0),FALSE)/1000</f>
        <v>0</v>
      </c>
      <c r="AE32" s="845">
        <f>VLOOKUP($A32,[2]Главная!$A$26:$BA$30,MATCH(AC$4,[2]Главная!$A$6:$BA$6,0),FALSE)/1000</f>
        <v>0</v>
      </c>
      <c r="AF32" s="856">
        <v>0</v>
      </c>
      <c r="AG32" s="845">
        <f>VLOOKUP($A32,[2]Главная!$A$14:$BA$18,MATCH(AF$4,[2]Главная!$A$6:$BA$6,0),FALSE)/1000</f>
        <v>0</v>
      </c>
      <c r="AH32" s="846">
        <f>VLOOKUP($A32,[2]Главная!$A$26:$BA$30,MATCH(AF$4,[2]Главная!$A$6:$BA$6,0),FALSE)/1000</f>
        <v>0</v>
      </c>
      <c r="AI32" s="856">
        <v>0</v>
      </c>
      <c r="AJ32" s="845">
        <f>VLOOKUP($A32,[2]Главная!$A$14:$BA$18,MATCH(AI$4,[2]Главная!$A$6:$BA$6,0),FALSE)/1000</f>
        <v>0</v>
      </c>
      <c r="AK32" s="857">
        <f>VLOOKUP($A32,[2]Главная!$A$26:$BA$30,MATCH(AI$4,[2]Главная!$A$6:$BA$6,0),FALSE)/1000</f>
        <v>0</v>
      </c>
      <c r="AL32" s="858">
        <v>0</v>
      </c>
      <c r="AM32" s="845">
        <f>VLOOKUP($A32,[2]Главная!$A$14:$BA$18,MATCH(AL$4,[2]Главная!$A$6:$BA$6,0),FALSE)/1000</f>
        <v>0</v>
      </c>
      <c r="AN32" s="846">
        <f>VLOOKUP($A32,[2]Главная!$A$26:$BA$30,MATCH(AL$4,[2]Главная!$A$6:$BA$6,0),FALSE)/1000</f>
        <v>0</v>
      </c>
      <c r="AO32" s="856">
        <v>0</v>
      </c>
      <c r="AP32" s="845">
        <f>VLOOKUP($A32,[2]Главная!$A$14:$BA$18,MATCH(AO$4,[2]Главная!$A$6:$BA$6,0),FALSE)/1000</f>
        <v>0</v>
      </c>
      <c r="AQ32" s="857">
        <f>VLOOKUP($A32,[2]Главная!$A$26:$BA$30,MATCH(AO$4,[2]Главная!$A$6:$BA$6,0),FALSE)/1000</f>
        <v>0</v>
      </c>
      <c r="AR32" s="858">
        <v>0</v>
      </c>
      <c r="AS32" s="845">
        <f>VLOOKUP($A32,[2]Главная!$A$14:$BA$18,MATCH(AR$4,[2]Главная!$A$6:$BA$6,0),FALSE)/1000</f>
        <v>0</v>
      </c>
      <c r="AT32" s="846">
        <f>VLOOKUP($A32,[2]Главная!$A$26:$BA$30,MATCH(AR$4,[2]Главная!$A$6:$BA$6,0),FALSE)/1000</f>
        <v>0</v>
      </c>
      <c r="AU32" s="856">
        <v>0</v>
      </c>
      <c r="AV32" s="845">
        <f>VLOOKUP($A32,[2]Главная!$A$14:$BA$18,MATCH(AU$4,[2]Главная!$A$6:$BA$6,0),FALSE)/1000</f>
        <v>0</v>
      </c>
      <c r="AW32" s="857">
        <f>VLOOKUP($A32,[2]Главная!$A$26:$BA$30,MATCH(AU$4,[2]Главная!$A$6:$BA$6,0),FALSE)/1000</f>
        <v>0</v>
      </c>
      <c r="AX32" s="858">
        <v>0</v>
      </c>
      <c r="AY32" s="845">
        <f>VLOOKUP($A32,[2]Главная!$A$14:$BA$18,MATCH(AX$4,[2]Главная!$A$6:$BA$6,0),FALSE)/1000</f>
        <v>0</v>
      </c>
      <c r="AZ32" s="846">
        <f>VLOOKUP($A32,[2]Главная!$A$26:$BA$30,MATCH(AX$4,[2]Главная!$A$6:$BA$6,0),FALSE)/1000</f>
        <v>0</v>
      </c>
      <c r="BA32" s="856">
        <v>0</v>
      </c>
      <c r="BB32" s="845">
        <f>VLOOKUP($A32,[2]Главная!$A$14:$BA$18,MATCH(BA$4,[2]Главная!$A$6:$BA$6,0),FALSE)/1000</f>
        <v>0</v>
      </c>
      <c r="BC32" s="857">
        <f>VLOOKUP($A32,[2]Главная!$A$26:$BA$30,MATCH(BA$4,[2]Главная!$A$6:$BA$6,0),FALSE)/1000</f>
        <v>0</v>
      </c>
      <c r="BD32" s="858">
        <v>0</v>
      </c>
      <c r="BE32" s="845">
        <f>VLOOKUP($A32,[2]Главная!$A$14:$BA$18,MATCH(BD$4,[2]Главная!$A$6:$BA$6,0),FALSE)/1000</f>
        <v>0</v>
      </c>
      <c r="BF32" s="846">
        <f>VLOOKUP($A32,[2]Главная!$A$26:$BA$30,MATCH(BD$4,[2]Главная!$A$6:$BA$6,0),FALSE)/1000</f>
        <v>0</v>
      </c>
      <c r="BG32" s="856">
        <v>0</v>
      </c>
      <c r="BH32" s="845">
        <f>VLOOKUP($A32,[2]Главная!$A$14:$BA$18,MATCH(BG$4,[2]Главная!$A$6:$BA$6,0),FALSE)/1000</f>
        <v>0</v>
      </c>
      <c r="BI32" s="857">
        <f>VLOOKUP($A32,[2]Главная!$A$26:$BA$30,MATCH(BG$4,[2]Главная!$A$6:$BA$6,0),FALSE)/1000</f>
        <v>0</v>
      </c>
      <c r="BJ32" s="858">
        <v>0</v>
      </c>
      <c r="BK32" s="845">
        <f>VLOOKUP($A32,[2]Главная!$A$14:$BA$18,MATCH(BJ$4,[2]Главная!$A$6:$BA$6,0),FALSE)/1000</f>
        <v>0</v>
      </c>
      <c r="BL32" s="846">
        <f>VLOOKUP($A32,[2]Главная!$A$26:$BA$30,MATCH(BJ$4,[2]Главная!$A$6:$BA$6,0),FALSE)/1000</f>
        <v>0</v>
      </c>
      <c r="BM32" s="856">
        <v>0</v>
      </c>
      <c r="BN32" s="845">
        <f>VLOOKUP($A32,[2]Главная!$A$14:$BA$18,MATCH(BM$4,[2]Главная!$A$6:$BA$6,0),FALSE)/1000</f>
        <v>0</v>
      </c>
      <c r="BO32" s="857">
        <f>VLOOKUP($A32,[2]Главная!$A$26:$BA$30,MATCH(BM$4,[2]Главная!$A$6:$BA$6,0),FALSE)/1000</f>
        <v>0</v>
      </c>
      <c r="BP32" s="858">
        <v>0</v>
      </c>
      <c r="BQ32" s="845">
        <f>VLOOKUP($A32,[2]Главная!$A$14:$BA$18,MATCH(BP$4,[2]Главная!$A$6:$BA$6,0),FALSE)/1000</f>
        <v>0</v>
      </c>
      <c r="BR32" s="846">
        <f>VLOOKUP($A32,[2]Главная!$A$26:$BA$30,MATCH(BP$4,[2]Главная!$A$6:$BA$6,0),FALSE)/1000</f>
        <v>0</v>
      </c>
      <c r="BS32" s="856">
        <v>0</v>
      </c>
      <c r="BT32" s="845">
        <f>VLOOKUP($A32,[2]Главная!$A$14:$BA$18,MATCH(BS$4,[2]Главная!$A$6:$BA$6,0),FALSE)/1000</f>
        <v>0</v>
      </c>
      <c r="BU32" s="857">
        <f>VLOOKUP($A32,[2]Главная!$A$26:$BA$30,MATCH(BS$4,[2]Главная!$A$6:$BA$6,0),FALSE)/1000</f>
        <v>0</v>
      </c>
      <c r="BV32" s="856">
        <v>0</v>
      </c>
      <c r="BW32" s="845">
        <f>VLOOKUP($A32,[2]Главная!$A$14:$BA$18,MATCH(BV$4,[2]Главная!$A$6:$BA$6,0),FALSE)/1000</f>
        <v>0</v>
      </c>
      <c r="BX32" s="857">
        <f>VLOOKUP($A32,[2]Главная!$A$26:$BA$30,MATCH(BV$4,[2]Главная!$A$6:$BA$6,0),FALSE)/1000</f>
        <v>0</v>
      </c>
      <c r="BY32" s="858">
        <v>0</v>
      </c>
      <c r="BZ32" s="845">
        <f>VLOOKUP($A32,[2]Главная!$A$14:$BA$18,MATCH(BY$4,[2]Главная!$A$6:$BA$6,0),FALSE)/1000</f>
        <v>0</v>
      </c>
      <c r="CA32" s="845">
        <f>VLOOKUP($A32,[2]Главная!$A$26:$BA$30,MATCH(BY$4,[2]Главная!$A$6:$BA$6,0),FALSE)/1000</f>
        <v>0</v>
      </c>
      <c r="CB32" s="859">
        <f t="shared" si="0"/>
        <v>0</v>
      </c>
      <c r="CC32" s="859">
        <f t="shared" si="0"/>
        <v>0</v>
      </c>
    </row>
    <row r="33" spans="1:81" s="850" customFormat="1" thickBot="1" x14ac:dyDescent="0.25">
      <c r="A33" s="860" t="s">
        <v>220</v>
      </c>
      <c r="B33" s="861"/>
      <c r="C33" s="862"/>
      <c r="D33" s="863"/>
      <c r="E33" s="864"/>
      <c r="F33" s="863"/>
      <c r="G33" s="865"/>
      <c r="H33" s="866">
        <f>ROUND(SQRT(I33^2+J33^2)*1000/(SQRT(3)*I18),2)</f>
        <v>8.39</v>
      </c>
      <c r="I33" s="867">
        <f>VLOOKUP($A33,[2]Главная!$A$14:$BA$18,MATCH(H$4,[2]Главная!$A$6:$BA$6,0),FALSE)/1000</f>
        <v>0.14480000000000001</v>
      </c>
      <c r="J33" s="868">
        <f>VLOOKUP($A33,[2]Главная!$A$26:$BA$30,MATCH(H$4,[2]Главная!$A$6:$BA$6,0),FALSE)/1000</f>
        <v>2.4199999999999999E-2</v>
      </c>
      <c r="K33" s="867">
        <f>ROUND(SQRT(L33^2+M33^2)*1000/(SQRT(3)*L18),2)</f>
        <v>8.36</v>
      </c>
      <c r="L33" s="845">
        <f>VLOOKUP($A33,[2]Главная!$A$14:$BA$18,MATCH(K$4,[2]Главная!$A$6:$BA$6,0),FALSE)/1000</f>
        <v>0.1444</v>
      </c>
      <c r="M33" s="846">
        <f>VLOOKUP($A33,[2]Главная!$A$26:$BA$30,MATCH(K$4,[2]Главная!$A$6:$BA$6,0),FALSE)/1000</f>
        <v>2.3200000000000002E-2</v>
      </c>
      <c r="N33" s="866">
        <f>ROUND(SQRT(O33^2+P33^2)*1000/(SQRT(3)*O18),2)</f>
        <v>8.35</v>
      </c>
      <c r="O33" s="867">
        <f>VLOOKUP($A33,[2]Главная!$A$14:$BA$18,MATCH(N$4,[2]Главная!$A$6:$BA$6,0),FALSE)/1000</f>
        <v>0.14399999999999999</v>
      </c>
      <c r="P33" s="868">
        <f>VLOOKUP($A33,[2]Главная!$A$26:$BA$30,MATCH(N$4,[2]Главная!$A$6:$BA$6,0),FALSE)/1000</f>
        <v>2.4E-2</v>
      </c>
      <c r="Q33" s="866">
        <f>ROUND(SQRT(R33^2+S33^2)*1000/(SQRT(3)*R18),2)</f>
        <v>8.35</v>
      </c>
      <c r="R33" s="867">
        <f>VLOOKUP($A33,[2]Главная!$A$14:$BA$18,MATCH(Q$4,[2]Главная!$A$6:$BA$6,0),FALSE)/1000</f>
        <v>0.14399999999999999</v>
      </c>
      <c r="S33" s="868">
        <f>VLOOKUP($A33,[2]Главная!$A$26:$BA$30,MATCH(Q$4,[2]Главная!$A$6:$BA$6,0),FALSE)/1000</f>
        <v>2.46E-2</v>
      </c>
      <c r="T33" s="845">
        <f>ROUND(SQRT(U33^2+V33^2)*1000/(SQRT(3)*U18),2)</f>
        <v>8.4600000000000009</v>
      </c>
      <c r="U33" s="845">
        <f>VLOOKUP($A33,[2]Главная!$A$14:$BA$18,MATCH(T$4,[2]Главная!$A$6:$BA$6,0),FALSE)/1000</f>
        <v>0.14599999999999999</v>
      </c>
      <c r="V33" s="846">
        <f>VLOOKUP($A33,[2]Главная!$A$26:$BA$30,MATCH(T$4,[2]Главная!$A$6:$BA$6,0),FALSE)/1000</f>
        <v>2.3800000000000002E-2</v>
      </c>
      <c r="W33" s="866">
        <f>ROUND(SQRT(X33^2+Y33^2)*1000/(SQRT(3)*X18),2)</f>
        <v>8.82</v>
      </c>
      <c r="X33" s="867">
        <f>VLOOKUP($A33,[2]Главная!$A$14:$BA$18,MATCH(W$4,[2]Главная!$A$6:$BA$6,0),FALSE)/1000</f>
        <v>0.15239999999999998</v>
      </c>
      <c r="Y33" s="868">
        <f>VLOOKUP($A33,[2]Главная!$A$26:$BA$30,MATCH(W$4,[2]Главная!$A$6:$BA$6,0),FALSE)/1000</f>
        <v>2.4E-2</v>
      </c>
      <c r="Z33" s="845">
        <f>ROUND(SQRT(AA33^2+AB33^2)*1000/(SQRT(3)*AA18),2)</f>
        <v>9.61</v>
      </c>
      <c r="AA33" s="845">
        <f>VLOOKUP($A33,[2]Главная!$A$14:$BA$18,MATCH(Z$4,[2]Главная!$A$6:$BA$6,0),FALSE)/1000</f>
        <v>0.16639999999999999</v>
      </c>
      <c r="AB33" s="845">
        <f>VLOOKUP($A33,[2]Главная!$A$26:$BA$30,MATCH(Z$4,[2]Главная!$A$6:$BA$6,0),FALSE)/1000</f>
        <v>2.3600000000000003E-2</v>
      </c>
      <c r="AC33" s="866">
        <f>ROUND(SQRT(AD33^2+AE33^2)*1000/(SQRT(3)*AD18),2)</f>
        <v>10.18</v>
      </c>
      <c r="AD33" s="845">
        <f>VLOOKUP($A33,[2]Главная!$A$14:$BA$18,MATCH(AC$4,[2]Главная!$A$6:$BA$6,0),FALSE)/1000</f>
        <v>0.17660000000000001</v>
      </c>
      <c r="AE33" s="845">
        <f>VLOOKUP($A33,[2]Главная!$A$26:$BA$30,MATCH(AC$4,[2]Главная!$A$6:$BA$6,0),FALSE)/1000</f>
        <v>2.3399999999999997E-2</v>
      </c>
      <c r="AF33" s="845">
        <f>ROUND(SQRT(AG33^2+AH33^2)*1000/(SQRT(3)*AG18),2)</f>
        <v>10.68</v>
      </c>
      <c r="AG33" s="845">
        <f>VLOOKUP($A33,[2]Главная!$A$14:$BA$18,MATCH(AF$4,[2]Главная!$A$6:$BA$6,0),FALSE)/1000</f>
        <v>0.18519999999999998</v>
      </c>
      <c r="AH33" s="846">
        <f>VLOOKUP($A33,[2]Главная!$A$26:$BA$30,MATCH(AF$4,[2]Главная!$A$6:$BA$6,0),FALSE)/1000</f>
        <v>2.4399999999999998E-2</v>
      </c>
      <c r="AI33" s="866">
        <f>ROUND(SQRT(AJ33^2+AK33^2)*1000/(SQRT(3)*AJ18),2)</f>
        <v>11.31</v>
      </c>
      <c r="AJ33" s="867">
        <f>VLOOKUP($A33,[2]Главная!$A$14:$BA$18,MATCH(AI$4,[2]Главная!$A$6:$BA$6,0),FALSE)/1000</f>
        <v>0.19519999999999998</v>
      </c>
      <c r="AK33" s="868">
        <f>VLOOKUP($A33,[2]Главная!$A$26:$BA$30,MATCH(AI$4,[2]Главная!$A$6:$BA$6,0),FALSE)/1000</f>
        <v>3.1799999999999995E-2</v>
      </c>
      <c r="AL33" s="845">
        <f>ROUND(SQRT(AM33^2+AN33^2)*1000/(SQRT(3)*AM18),2)</f>
        <v>11.45</v>
      </c>
      <c r="AM33" s="845">
        <f>VLOOKUP($A33,[2]Главная!$A$14:$BA$18,MATCH(AL$4,[2]Главная!$A$6:$BA$6,0),FALSE)/1000</f>
        <v>0.1968</v>
      </c>
      <c r="AN33" s="846">
        <f>VLOOKUP($A33,[2]Главная!$A$26:$BA$30,MATCH(AL$4,[2]Главная!$A$6:$BA$6,0),FALSE)/1000</f>
        <v>3.7399999999999996E-2</v>
      </c>
      <c r="AO33" s="866">
        <f>ROUND(SQRT(AP33^2+AQ33^2)*1000/(SQRT(3)*AP18),2)</f>
        <v>11.09</v>
      </c>
      <c r="AP33" s="867">
        <f>VLOOKUP($A33,[2]Главная!$A$14:$BA$18,MATCH(AO$4,[2]Главная!$A$6:$BA$6,0),FALSE)/1000</f>
        <v>0.19059999999999999</v>
      </c>
      <c r="AQ33" s="868">
        <f>VLOOKUP($A33,[2]Главная!$A$26:$BA$30,MATCH(AO$4,[2]Главная!$A$6:$BA$6,0),FALSE)/1000</f>
        <v>3.5999999999999997E-2</v>
      </c>
      <c r="AR33" s="845">
        <f>ROUND(SQRT(AS33^2+AT33^2)*1000/(SQRT(3)*AS18),2)</f>
        <v>10.97</v>
      </c>
      <c r="AS33" s="845">
        <f>VLOOKUP($A33,[2]Главная!$A$14:$BA$18,MATCH(AR$4,[2]Главная!$A$6:$BA$6,0),FALSE)/1000</f>
        <v>0.18840000000000001</v>
      </c>
      <c r="AT33" s="846">
        <f>VLOOKUP($A33,[2]Главная!$A$26:$BA$30,MATCH(AR$4,[2]Главная!$A$6:$BA$6,0),FALSE)/1000</f>
        <v>3.6599999999999994E-2</v>
      </c>
      <c r="AU33" s="866">
        <f>ROUND(SQRT(AV33^2+AW33^2)*1000/(SQRT(3)*AV18),2)</f>
        <v>10.71</v>
      </c>
      <c r="AV33" s="867">
        <f>VLOOKUP($A33,[2]Главная!$A$14:$BA$18,MATCH(AU$4,[2]Главная!$A$6:$BA$6,0),FALSE)/1000</f>
        <v>0.18359999999999999</v>
      </c>
      <c r="AW33" s="868">
        <f>VLOOKUP($A33,[2]Главная!$A$26:$BA$30,MATCH(AU$4,[2]Главная!$A$6:$BA$6,0),FALSE)/1000</f>
        <v>3.7599999999999995E-2</v>
      </c>
      <c r="AX33" s="845">
        <f>ROUND(SQRT(AY33^2+AZ33^2)*1000/(SQRT(3)*AY18),2)</f>
        <v>10.43</v>
      </c>
      <c r="AY33" s="845">
        <f>VLOOKUP($A33,[2]Главная!$A$14:$BA$18,MATCH(AX$4,[2]Главная!$A$6:$BA$6,0),FALSE)/1000</f>
        <v>0.17939999999999998</v>
      </c>
      <c r="AZ33" s="846">
        <f>VLOOKUP($A33,[2]Главная!$A$26:$BA$30,MATCH(AX$4,[2]Главная!$A$6:$BA$6,0),FALSE)/1000</f>
        <v>3.2799999999999996E-2</v>
      </c>
      <c r="BA33" s="866">
        <f>ROUND(SQRT(BB33^2+BC33^2)*1000/(SQRT(3)*BB18),2)</f>
        <v>9.91</v>
      </c>
      <c r="BB33" s="867">
        <f>VLOOKUP($A33,[2]Главная!$A$14:$BA$18,MATCH(BA$4,[2]Главная!$A$6:$BA$6,0),FALSE)/1000</f>
        <v>0.17180000000000001</v>
      </c>
      <c r="BC33" s="868">
        <f>VLOOKUP($A33,[2]Главная!$A$26:$BA$30,MATCH(BA$4,[2]Главная!$A$6:$BA$6,0),FALSE)/1000</f>
        <v>2.3399999999999997E-2</v>
      </c>
      <c r="BD33" s="845">
        <f>ROUND(SQRT(BE33^2+BF33^2)*1000/(SQRT(3)*BE18),2)</f>
        <v>10.38</v>
      </c>
      <c r="BE33" s="845">
        <f>VLOOKUP($A33,[2]Главная!$A$14:$BA$18,MATCH(BD$4,[2]Главная!$A$6:$BA$6,0),FALSE)/1000</f>
        <v>0.1802</v>
      </c>
      <c r="BF33" s="846">
        <f>VLOOKUP($A33,[2]Главная!$A$26:$BA$30,MATCH(BD$4,[2]Главная!$A$6:$BA$6,0),FALSE)/1000</f>
        <v>2.2600000000000002E-2</v>
      </c>
      <c r="BG33" s="866">
        <f>ROUND(SQRT(BH33^2+BI33^2)*1000/(SQRT(3)*BH18),2)</f>
        <v>10.34</v>
      </c>
      <c r="BH33" s="867">
        <f>VLOOKUP($A33,[2]Главная!$A$14:$BA$18,MATCH(BG$4,[2]Главная!$A$6:$BA$6,0),FALSE)/1000</f>
        <v>0.17939999999999998</v>
      </c>
      <c r="BI33" s="868">
        <f>VLOOKUP($A33,[2]Главная!$A$26:$BA$30,MATCH(BG$4,[2]Главная!$A$6:$BA$6,0),FALSE)/1000</f>
        <v>2.3200000000000002E-2</v>
      </c>
      <c r="BJ33" s="845">
        <f>ROUND(SQRT(BK33^2+BL33^2)*1000/(SQRT(3)*BK18),2)</f>
        <v>9.5500000000000007</v>
      </c>
      <c r="BK33" s="845">
        <f>VLOOKUP($A33,[2]Главная!$A$14:$BA$18,MATCH(BJ$4,[2]Главная!$A$6:$BA$6,0),FALSE)/1000</f>
        <v>0.1656</v>
      </c>
      <c r="BL33" s="846">
        <f>VLOOKUP($A33,[2]Главная!$A$26:$BA$30,MATCH(BJ$4,[2]Главная!$A$6:$BA$6,0),FALSE)/1000</f>
        <v>2.1999999999999999E-2</v>
      </c>
      <c r="BM33" s="866">
        <f>ROUND(SQRT(BN33^2+BO33^2)*1000/(SQRT(3)*BN18),2)</f>
        <v>9.42</v>
      </c>
      <c r="BN33" s="867">
        <f>VLOOKUP($A33,[2]Главная!$A$14:$BA$18,MATCH(BM$4,[2]Главная!$A$6:$BA$6,0),FALSE)/1000</f>
        <v>0.16319999999999998</v>
      </c>
      <c r="BO33" s="868">
        <f>VLOOKUP($A33,[2]Главная!$A$26:$BA$30,MATCH(BM$4,[2]Главная!$A$6:$BA$6,0),FALSE)/1000</f>
        <v>2.2600000000000002E-2</v>
      </c>
      <c r="BP33" s="845">
        <f>ROUND(SQRT(BQ33^2+BR33^2)*1000/(SQRT(3)*BQ18),2)</f>
        <v>9.25</v>
      </c>
      <c r="BQ33" s="845">
        <f>VLOOKUP($A33,[2]Главная!$A$14:$BA$18,MATCH(BP$4,[2]Главная!$A$6:$BA$6,0),FALSE)/1000</f>
        <v>0.16019999999999998</v>
      </c>
      <c r="BR33" s="846">
        <f>VLOOKUP($A33,[2]Главная!$A$26:$BA$30,MATCH(BP$4,[2]Главная!$A$6:$BA$6,0),FALSE)/1000</f>
        <v>2.3E-2</v>
      </c>
      <c r="BS33" s="866">
        <f>ROUND(SQRT(BT33^2+BU33^2)*1000/(SQRT(3)*BT18),2)</f>
        <v>8.93</v>
      </c>
      <c r="BT33" s="867">
        <f>VLOOKUP($A33,[2]Главная!$A$14:$BA$18,MATCH(BS$4,[2]Главная!$A$6:$BA$6,0),FALSE)/1000</f>
        <v>0.15459999999999999</v>
      </c>
      <c r="BU33" s="868">
        <f>VLOOKUP($A33,[2]Главная!$A$26:$BA$30,MATCH(BS$4,[2]Главная!$A$6:$BA$6,0),FALSE)/1000</f>
        <v>2.1999999999999999E-2</v>
      </c>
      <c r="BV33" s="866">
        <f>ROUND(SQRT(BW33^2+BX33^2)*1000/(SQRT(3)*BW18),2)</f>
        <v>8.4700000000000006</v>
      </c>
      <c r="BW33" s="867">
        <f>VLOOKUP($A33,[2]Главная!$A$14:$BA$18,MATCH(BV$4,[2]Главная!$A$6:$BA$6,0),FALSE)/1000</f>
        <v>0.1462</v>
      </c>
      <c r="BX33" s="868">
        <f>VLOOKUP($A33,[2]Главная!$A$26:$BA$30,MATCH(BV$4,[2]Главная!$A$6:$BA$6,0),FALSE)/1000</f>
        <v>2.3800000000000002E-2</v>
      </c>
      <c r="BY33" s="845">
        <f>ROUND(SQRT(BZ33^2+CA33^2)*1000/(SQRT(3)*BZ18),2)</f>
        <v>8.11</v>
      </c>
      <c r="BZ33" s="845">
        <f>VLOOKUP($A33,[2]Главная!$A$14:$BA$18,MATCH(BY$4,[2]Главная!$A$6:$BA$6,0),FALSE)/1000</f>
        <v>0.13980000000000001</v>
      </c>
      <c r="CA33" s="845">
        <f>VLOOKUP($A33,[2]Главная!$A$26:$BA$30,MATCH(BY$4,[2]Главная!$A$6:$BA$6,0),FALSE)/1000</f>
        <v>2.4199999999999999E-2</v>
      </c>
      <c r="CB33" s="869">
        <f t="shared" si="0"/>
        <v>3.9988000000000001</v>
      </c>
      <c r="CC33" s="869">
        <f t="shared" si="0"/>
        <v>0.63419999999999987</v>
      </c>
    </row>
    <row r="34" spans="1:81" ht="13.5" thickBot="1" x14ac:dyDescent="0.25">
      <c r="A34" s="2306" t="s">
        <v>19</v>
      </c>
      <c r="B34" s="2307"/>
      <c r="C34" s="2307"/>
      <c r="D34" s="2307"/>
      <c r="E34" s="2307"/>
      <c r="F34" s="2307"/>
      <c r="G34" s="2307"/>
      <c r="H34" s="765"/>
      <c r="I34" s="870"/>
      <c r="J34" s="871"/>
      <c r="K34" s="765"/>
      <c r="L34" s="870"/>
      <c r="M34" s="871"/>
      <c r="N34" s="765"/>
      <c r="O34" s="870"/>
      <c r="P34" s="871"/>
      <c r="Q34" s="765"/>
      <c r="R34" s="870"/>
      <c r="S34" s="871"/>
      <c r="T34" s="765"/>
      <c r="U34" s="870"/>
      <c r="V34" s="871"/>
      <c r="W34" s="765"/>
      <c r="X34" s="870"/>
      <c r="Y34" s="871"/>
      <c r="Z34" s="765"/>
      <c r="AA34" s="870"/>
      <c r="AB34" s="871"/>
      <c r="AC34" s="765"/>
      <c r="AD34" s="870"/>
      <c r="AE34" s="871"/>
      <c r="AF34" s="765"/>
      <c r="AG34" s="870"/>
      <c r="AH34" s="871"/>
      <c r="AI34" s="765"/>
      <c r="AJ34" s="870"/>
      <c r="AK34" s="871"/>
      <c r="AL34" s="765"/>
      <c r="AM34" s="870"/>
      <c r="AN34" s="871"/>
      <c r="AO34" s="765"/>
      <c r="AP34" s="870"/>
      <c r="AQ34" s="871"/>
      <c r="AR34" s="765"/>
      <c r="AS34" s="870"/>
      <c r="AT34" s="871"/>
      <c r="AU34" s="765"/>
      <c r="AV34" s="870"/>
      <c r="AW34" s="871"/>
      <c r="AX34" s="765"/>
      <c r="AY34" s="870"/>
      <c r="AZ34" s="871"/>
      <c r="BA34" s="765"/>
      <c r="BB34" s="870"/>
      <c r="BC34" s="871"/>
      <c r="BD34" s="765"/>
      <c r="BE34" s="870"/>
      <c r="BF34" s="871"/>
      <c r="BG34" s="765"/>
      <c r="BH34" s="870"/>
      <c r="BI34" s="871"/>
      <c r="BJ34" s="765"/>
      <c r="BK34" s="870"/>
      <c r="BL34" s="871"/>
      <c r="BM34" s="765"/>
      <c r="BN34" s="870"/>
      <c r="BO34" s="871"/>
      <c r="BP34" s="765"/>
      <c r="BQ34" s="870"/>
      <c r="BR34" s="871"/>
      <c r="BS34" s="765"/>
      <c r="BT34" s="870"/>
      <c r="BU34" s="871"/>
      <c r="BV34" s="765"/>
      <c r="BW34" s="870"/>
      <c r="BX34" s="871"/>
      <c r="BY34" s="765"/>
      <c r="BZ34" s="870"/>
      <c r="CA34" s="871"/>
      <c r="CB34" s="806"/>
    </row>
    <row r="35" spans="1:81" ht="15" customHeight="1" x14ac:dyDescent="0.2">
      <c r="A35" s="872"/>
      <c r="B35" s="873" t="s">
        <v>22</v>
      </c>
      <c r="C35" s="874"/>
      <c r="D35" s="875" t="s">
        <v>202</v>
      </c>
      <c r="E35" s="874"/>
      <c r="F35" s="874"/>
      <c r="G35" s="874"/>
      <c r="H35" s="876">
        <v>5.4999999999999997E-3</v>
      </c>
      <c r="I35" s="877" t="s">
        <v>2</v>
      </c>
      <c r="J35" s="878">
        <v>3.7100000000000001E-2</v>
      </c>
      <c r="K35" s="876"/>
      <c r="L35" s="877"/>
      <c r="M35" s="878"/>
      <c r="N35" s="876"/>
      <c r="O35" s="877"/>
      <c r="P35" s="878"/>
      <c r="Q35" s="876"/>
      <c r="R35" s="877"/>
      <c r="S35" s="878"/>
      <c r="T35" s="876"/>
      <c r="U35" s="877"/>
      <c r="V35" s="878"/>
      <c r="W35" s="876"/>
      <c r="X35" s="877"/>
      <c r="Y35" s="878"/>
      <c r="Z35" s="876"/>
      <c r="AA35" s="877"/>
      <c r="AB35" s="878"/>
      <c r="AC35" s="876"/>
      <c r="AD35" s="877"/>
      <c r="AE35" s="878"/>
      <c r="AF35" s="876"/>
      <c r="AG35" s="877"/>
      <c r="AH35" s="878"/>
      <c r="AI35" s="876"/>
      <c r="AJ35" s="877"/>
      <c r="AK35" s="878"/>
      <c r="AL35" s="876"/>
      <c r="AM35" s="877"/>
      <c r="AN35" s="878"/>
      <c r="AO35" s="876"/>
      <c r="AP35" s="877"/>
      <c r="AQ35" s="878"/>
      <c r="AR35" s="876"/>
      <c r="AS35" s="877"/>
      <c r="AT35" s="878"/>
      <c r="AU35" s="876"/>
      <c r="AV35" s="877"/>
      <c r="AW35" s="878"/>
      <c r="AX35" s="876"/>
      <c r="AY35" s="877"/>
      <c r="AZ35" s="878"/>
      <c r="BA35" s="876"/>
      <c r="BB35" s="877"/>
      <c r="BC35" s="878"/>
      <c r="BD35" s="876"/>
      <c r="BE35" s="877"/>
      <c r="BF35" s="878"/>
      <c r="BG35" s="876"/>
      <c r="BH35" s="877"/>
      <c r="BI35" s="878"/>
      <c r="BJ35" s="876"/>
      <c r="BK35" s="877"/>
      <c r="BL35" s="878"/>
      <c r="BM35" s="876"/>
      <c r="BN35" s="877"/>
      <c r="BO35" s="878"/>
      <c r="BP35" s="876"/>
      <c r="BQ35" s="877"/>
      <c r="BR35" s="878"/>
      <c r="BS35" s="876"/>
      <c r="BT35" s="877"/>
      <c r="BU35" s="878"/>
      <c r="BV35" s="876"/>
      <c r="BW35" s="877"/>
      <c r="BX35" s="878"/>
      <c r="BY35" s="876"/>
      <c r="BZ35" s="877"/>
      <c r="CA35" s="878"/>
      <c r="CB35" s="806"/>
    </row>
    <row r="36" spans="1:81" ht="15.75" customHeight="1" x14ac:dyDescent="0.2">
      <c r="A36" s="879" t="s">
        <v>0</v>
      </c>
      <c r="B36" s="880" t="s">
        <v>23</v>
      </c>
      <c r="C36" s="881"/>
      <c r="D36" s="882" t="s">
        <v>24</v>
      </c>
      <c r="E36" s="883"/>
      <c r="F36" s="774"/>
      <c r="G36" s="882"/>
      <c r="H36" s="884">
        <f>(SUM(I$8*I$8,J$8*J$8)/POWER($C$7,2))*$C$37</f>
        <v>1.5928769321676801E-4</v>
      </c>
      <c r="I36" s="877" t="s">
        <v>2</v>
      </c>
      <c r="J36" s="885">
        <f>($E$37/100)*(SUM(I$8*I$8,J$8*J$8)/$C$7)</f>
        <v>1.8214512004607998E-3</v>
      </c>
      <c r="K36" s="884">
        <f>(SUM(L$8*L$8,M$8*M$8)/POWER($C$7,2))*$C$37</f>
        <v>1.5287525644288002E-4</v>
      </c>
      <c r="L36" s="877" t="s">
        <v>2</v>
      </c>
      <c r="M36" s="885">
        <f>($E$37/100)*(SUM(L$8*L$8,M$8*M$8)/$C$7)</f>
        <v>1.7481251297279999E-3</v>
      </c>
      <c r="N36" s="884">
        <f>(SUM(O$8*O$8,P$8*P$8)/POWER($C$7,2))*$C$37</f>
        <v>1.4643564326912006E-4</v>
      </c>
      <c r="O36" s="877" t="s">
        <v>2</v>
      </c>
      <c r="P36" s="885">
        <f>($E$37/100)*(SUM(O$8*O$8,P$8*P$8)/$C$7)</f>
        <v>1.6744882974720008E-3</v>
      </c>
      <c r="Q36" s="884">
        <f>(SUM(R$8*R$8,S$8*S$8)/POWER($C$7,2))*$C$37</f>
        <v>1.4155907487334402E-4</v>
      </c>
      <c r="R36" s="877" t="s">
        <v>2</v>
      </c>
      <c r="S36" s="885">
        <f>($E$37/100)*(SUM(R$8*R$8,S$8*S$8)/$C$7)</f>
        <v>1.6187248472064001E-3</v>
      </c>
      <c r="T36" s="884">
        <f>(SUM(U$8*U$8,V$8*V$8)/POWER($C$7,2))*$C$37</f>
        <v>1.4012983180799999E-4</v>
      </c>
      <c r="U36" s="877" t="s">
        <v>2</v>
      </c>
      <c r="V36" s="885">
        <f>($E$37/100)*(SUM(U$8*U$8,V$8*V$8)/$C$7)</f>
        <v>1.6023814847999998E-3</v>
      </c>
      <c r="W36" s="884">
        <f>(SUM(X$8*X$8,Y$8*Y$8)/POWER($C$7,2))*$C$37</f>
        <v>1.4279632003379202E-4</v>
      </c>
      <c r="X36" s="877" t="s">
        <v>2</v>
      </c>
      <c r="Y36" s="885">
        <f>($E$37/100)*(SUM(X$8*X$8,Y$8*Y$8)/$C$7)</f>
        <v>1.6328727178752001E-3</v>
      </c>
      <c r="Z36" s="884">
        <f>(SUM(AA$8*AA$8,AB$8*AB$8)/POWER($C$7,2))*$C$37</f>
        <v>1.6300646125465596E-4</v>
      </c>
      <c r="AA36" s="877" t="s">
        <v>2</v>
      </c>
      <c r="AB36" s="885">
        <f>($E$37/100)*(SUM(AA$8*AA$8,AB$8*AB$8)/$C$7)</f>
        <v>1.8639752295935993E-3</v>
      </c>
      <c r="AC36" s="884">
        <f>(SUM(AD$8*AD$8,AE$8*AE$8)/POWER($C$7,2))*$C$37</f>
        <v>1.7559789466316795E-4</v>
      </c>
      <c r="AD36" s="877" t="s">
        <v>2</v>
      </c>
      <c r="AE36" s="885">
        <f>($E$37/100)*(SUM(AD$8*AD$8,AE$8*AE$8)/$C$7)</f>
        <v>2.0079579883007996E-3</v>
      </c>
      <c r="AF36" s="884">
        <f>(SUM(AG$8*AG$8,AH$8*AH$8)/POWER($C$7,2))*$C$37</f>
        <v>1.6747304829644802E-4</v>
      </c>
      <c r="AG36" s="877" t="s">
        <v>2</v>
      </c>
      <c r="AH36" s="885">
        <f>($E$37/100)*(SUM(AG$8*AG$8,AH$8*AH$8)/$C$7)</f>
        <v>1.9150505522688001E-3</v>
      </c>
      <c r="AI36" s="884">
        <f>(SUM(AJ$8*AJ$8,AK$8*AK$8)/POWER($C$7,2))*$C$37</f>
        <v>1.7452501750067203E-4</v>
      </c>
      <c r="AJ36" s="877" t="s">
        <v>2</v>
      </c>
      <c r="AK36" s="885">
        <f>($E$37/100)*(SUM(AJ$8*AJ$8,AK$8*AK$8)/$C$7)</f>
        <v>1.9956896620032002E-3</v>
      </c>
      <c r="AL36" s="884">
        <f>(SUM(AM$8*AM$8,AN$8*AN$8)/POWER($C$7,2))*$C$37</f>
        <v>1.6568053099520007E-4</v>
      </c>
      <c r="AM36" s="877" t="s">
        <v>2</v>
      </c>
      <c r="AN36" s="885">
        <f>($E$37/100)*(SUM(AM$8*AM$8,AN$8*AN$8)/$C$7)</f>
        <v>1.8945531571200006E-3</v>
      </c>
      <c r="AO36" s="884">
        <f>(SUM(AP$8*AP$8,AQ$8*AQ$8)/POWER($C$7,2))*$C$37</f>
        <v>1.6096925473792E-4</v>
      </c>
      <c r="AP36" s="877" t="s">
        <v>2</v>
      </c>
      <c r="AQ36" s="885">
        <f>($E$37/100)*(SUM(AP$8*AP$8,AQ$8*AQ$8)/$C$7)</f>
        <v>1.840679818752E-3</v>
      </c>
      <c r="AR36" s="884">
        <f>(SUM(AS$8*AS$8,AT$8*AT$8)/POWER($C$7,2))*$C$37</f>
        <v>1.6369430223564798E-4</v>
      </c>
      <c r="AS36" s="877" t="s">
        <v>2</v>
      </c>
      <c r="AT36" s="885">
        <f>($E$37/100)*(SUM(AS$8*AS$8,AT$8*AT$8)/$C$7)</f>
        <v>1.8718406757887998E-3</v>
      </c>
      <c r="AU36" s="884">
        <f>(SUM(AV$8*AV$8,AW$8*AW$8)/POWER($C$7,2))*$C$37</f>
        <v>1.6641222241075207E-4</v>
      </c>
      <c r="AV36" s="877" t="s">
        <v>2</v>
      </c>
      <c r="AW36" s="885">
        <f>($E$37/100)*(SUM(AV$8*AV$8,AW$8*AW$8)/$C$7)</f>
        <v>1.9029200320512007E-3</v>
      </c>
      <c r="AX36" s="884">
        <f>(SUM(AY$8*AY$8,AZ$8*AZ$8)/POWER($C$7,2))*$C$37</f>
        <v>1.6676862165299202E-4</v>
      </c>
      <c r="AY36" s="877" t="s">
        <v>2</v>
      </c>
      <c r="AZ36" s="885">
        <f>($E$37/100)*(SUM(AY$8*AY$8,AZ$8*AZ$8)/$C$7)</f>
        <v>1.9069954493952002E-3</v>
      </c>
      <c r="BA36" s="884">
        <f>(SUM(BB$8*BB$8,BC$8*BC$8)/POWER($C$7,2))*$C$37</f>
        <v>1.8231286084403198E-4</v>
      </c>
      <c r="BB36" s="877" t="s">
        <v>2</v>
      </c>
      <c r="BC36" s="885">
        <f>($E$37/100)*(SUM(BB$8*BB$8,BC$8*BC$8)/$C$7)</f>
        <v>2.0847434760191998E-3</v>
      </c>
      <c r="BD36" s="884">
        <f>(SUM(BE$8*BE$8,BF$8*BF$8)/POWER($C$7,2))*$C$37</f>
        <v>1.9999580787404797E-4</v>
      </c>
      <c r="BE36" s="877" t="s">
        <v>2</v>
      </c>
      <c r="BF36" s="885">
        <f>($E$37/100)*(SUM(BE$8*BE$8,BF$8*BF$8)/$C$7)</f>
        <v>2.2869475788287997E-3</v>
      </c>
      <c r="BG36" s="884">
        <f>(SUM(BH$8*BH$8,BI$8*BI$8)/POWER($C$7,2))*$C$37</f>
        <v>2.0249778789376E-4</v>
      </c>
      <c r="BH36" s="877" t="s">
        <v>2</v>
      </c>
      <c r="BI36" s="885">
        <f>($E$37/100)*(SUM(BH$8*BH$8,BI$8*BI$8)/$C$7)</f>
        <v>2.3155576642559998E-3</v>
      </c>
      <c r="BJ36" s="884">
        <f>(SUM(BK$8*BK$8,BL$8*BL$8)/POWER($C$7,2))*$C$37</f>
        <v>2.0879356899328001E-4</v>
      </c>
      <c r="BK36" s="877" t="s">
        <v>2</v>
      </c>
      <c r="BL36" s="885">
        <f>($E$37/100)*(SUM(BK$8*BK$8,BL$8*BL$8)/$C$7)</f>
        <v>2.3875497799680004E-3</v>
      </c>
      <c r="BM36" s="884">
        <f>(SUM(BN$8*BN$8,BO$8*BO$8)/POWER($C$7,2))*$C$37</f>
        <v>2.0402623346175996E-4</v>
      </c>
      <c r="BN36" s="877" t="s">
        <v>2</v>
      </c>
      <c r="BO36" s="885">
        <f>($E$37/100)*(SUM(BN$8*BN$8,BO$8*BO$8)/$C$7)</f>
        <v>2.3330354050559994E-3</v>
      </c>
      <c r="BP36" s="884">
        <f>(SUM(BQ$8*BQ$8,BR$8*BR$8)/POWER($C$7,2))*$C$37</f>
        <v>1.9795309784575998E-4</v>
      </c>
      <c r="BQ36" s="877" t="s">
        <v>2</v>
      </c>
      <c r="BR36" s="885">
        <f>($E$37/100)*(SUM(BQ$8*BQ$8,BR$8*BR$8)/$C$7)</f>
        <v>2.2635892354559996E-3</v>
      </c>
      <c r="BS36" s="884">
        <f>(SUM(BT$8*BT$8,BU$8*BU$8)/POWER($C$7,2))*$C$37</f>
        <v>1.8898914282598395E-4</v>
      </c>
      <c r="BT36" s="877" t="s">
        <v>2</v>
      </c>
      <c r="BU36" s="885">
        <f>($E$37/100)*(SUM(BT$8*BT$8,BU$8*BU$8)/$C$7)</f>
        <v>2.1610866107903996E-3</v>
      </c>
      <c r="BV36" s="884">
        <f>(SUM(BW$8*BW$8,BX$8*BX$8)/POWER($C$7,2))*$C$37</f>
        <v>1.7029794544639999E-4</v>
      </c>
      <c r="BW36" s="877" t="s">
        <v>2</v>
      </c>
      <c r="BX36" s="885">
        <f>($E$37/100)*(SUM(BW$8*BW$8,BX$8*BX$8)/$C$7)</f>
        <v>1.94735318784E-3</v>
      </c>
      <c r="BY36" s="884">
        <f>(SUM(BZ$8*BZ$8,CA$8*CA$8)/POWER($C$7,2))*$C$37</f>
        <v>1.5769799793356799E-4</v>
      </c>
      <c r="BZ36" s="877" t="s">
        <v>2</v>
      </c>
      <c r="CA36" s="885">
        <f>($E$37/100)*(SUM(BZ$8*BZ$8,CA$8*CA$8)/$C$7)</f>
        <v>1.8032730705408E-3</v>
      </c>
      <c r="CB36" s="806"/>
    </row>
    <row r="37" spans="1:81" ht="12.75" customHeight="1" thickBot="1" x14ac:dyDescent="0.25">
      <c r="A37" s="886"/>
      <c r="B37" s="776" t="s">
        <v>26</v>
      </c>
      <c r="C37" s="777">
        <v>2.23E-2</v>
      </c>
      <c r="D37" s="778" t="s">
        <v>27</v>
      </c>
      <c r="E37" s="2309">
        <v>10.199999999999999</v>
      </c>
      <c r="F37" s="2309"/>
      <c r="G37" s="473"/>
      <c r="H37" s="887"/>
      <c r="I37" s="888"/>
      <c r="J37" s="889"/>
      <c r="K37" s="887"/>
      <c r="L37" s="888"/>
      <c r="M37" s="889"/>
      <c r="N37" s="887"/>
      <c r="O37" s="888"/>
      <c r="P37" s="889"/>
      <c r="Q37" s="887"/>
      <c r="R37" s="888"/>
      <c r="S37" s="889"/>
      <c r="T37" s="887"/>
      <c r="U37" s="888"/>
      <c r="V37" s="889"/>
      <c r="W37" s="887"/>
      <c r="X37" s="888"/>
      <c r="Y37" s="889"/>
      <c r="Z37" s="887"/>
      <c r="AA37" s="888"/>
      <c r="AB37" s="889"/>
      <c r="AC37" s="887"/>
      <c r="AD37" s="888"/>
      <c r="AE37" s="889"/>
      <c r="AF37" s="887"/>
      <c r="AG37" s="888"/>
      <c r="AH37" s="889"/>
      <c r="AI37" s="887"/>
      <c r="AJ37" s="888"/>
      <c r="AK37" s="889"/>
      <c r="AL37" s="887"/>
      <c r="AM37" s="888"/>
      <c r="AN37" s="889"/>
      <c r="AO37" s="887"/>
      <c r="AP37" s="888"/>
      <c r="AQ37" s="889"/>
      <c r="AR37" s="887"/>
      <c r="AS37" s="888"/>
      <c r="AT37" s="889"/>
      <c r="AU37" s="887"/>
      <c r="AV37" s="888"/>
      <c r="AW37" s="889"/>
      <c r="AX37" s="887"/>
      <c r="AY37" s="888"/>
      <c r="AZ37" s="889"/>
      <c r="BA37" s="887"/>
      <c r="BB37" s="888"/>
      <c r="BC37" s="889"/>
      <c r="BD37" s="887"/>
      <c r="BE37" s="888"/>
      <c r="BF37" s="889"/>
      <c r="BG37" s="887"/>
      <c r="BH37" s="888"/>
      <c r="BI37" s="889"/>
      <c r="BJ37" s="887"/>
      <c r="BK37" s="888"/>
      <c r="BL37" s="889"/>
      <c r="BM37" s="887"/>
      <c r="BN37" s="888"/>
      <c r="BO37" s="889"/>
      <c r="BP37" s="887"/>
      <c r="BQ37" s="888"/>
      <c r="BR37" s="889"/>
      <c r="BS37" s="887"/>
      <c r="BT37" s="888"/>
      <c r="BU37" s="889"/>
      <c r="BV37" s="887"/>
      <c r="BW37" s="888"/>
      <c r="BX37" s="889"/>
      <c r="BY37" s="887"/>
      <c r="BZ37" s="888"/>
      <c r="CA37" s="889"/>
      <c r="CB37" s="806"/>
    </row>
    <row r="38" spans="1:81" ht="15" customHeight="1" thickBot="1" x14ac:dyDescent="0.25">
      <c r="A38" s="890"/>
      <c r="B38" s="2310" t="s">
        <v>29</v>
      </c>
      <c r="C38" s="2311"/>
      <c r="D38" s="2311"/>
      <c r="E38" s="2311"/>
      <c r="F38" s="2311"/>
      <c r="G38" s="2311"/>
      <c r="H38" s="891">
        <f>SUM(I8,$H$35,H36)</f>
        <v>0.21528328769321678</v>
      </c>
      <c r="I38" s="892" t="s">
        <v>2</v>
      </c>
      <c r="J38" s="893">
        <f>SUM(J8,$J$35,J36)</f>
        <v>6.54014512004608E-2</v>
      </c>
      <c r="K38" s="891">
        <f>SUM(L8,$H$35,K36)</f>
        <v>0.21120487525644291</v>
      </c>
      <c r="L38" s="892" t="s">
        <v>2</v>
      </c>
      <c r="M38" s="893">
        <f>SUM(M8,$J$35,M36)</f>
        <v>6.3232125129727992E-2</v>
      </c>
      <c r="N38" s="891">
        <f>SUM(O8,$H$35,N36)</f>
        <v>0.20694243564326917</v>
      </c>
      <c r="O38" s="892" t="s">
        <v>2</v>
      </c>
      <c r="P38" s="893">
        <f>SUM(P8,$J$35,P36)</f>
        <v>6.1606488297471999E-2</v>
      </c>
      <c r="Q38" s="891">
        <f>SUM(R8,$H$35,Q36)</f>
        <v>0.20351355907487334</v>
      </c>
      <c r="R38" s="892" t="s">
        <v>2</v>
      </c>
      <c r="S38" s="893">
        <f>SUM(S8,$J$35,S36)</f>
        <v>6.1550724847206396E-2</v>
      </c>
      <c r="T38" s="891">
        <f>SUM(U8,$H$35,T36)</f>
        <v>0.202512129831808</v>
      </c>
      <c r="U38" s="892" t="s">
        <v>2</v>
      </c>
      <c r="V38" s="893">
        <f>SUM(V8,$J$35,V36)</f>
        <v>6.1406381484800002E-2</v>
      </c>
      <c r="W38" s="891">
        <f>SUM(X8,$H$35,W36)</f>
        <v>0.20460279632003381</v>
      </c>
      <c r="X38" s="892" t="s">
        <v>2</v>
      </c>
      <c r="Y38" s="893">
        <f>SUM(Y8,$J$35,Y36)</f>
        <v>5.9620872717875195E-2</v>
      </c>
      <c r="Z38" s="891">
        <f>SUM(AA8,$H$35,Z36)</f>
        <v>0.21823900646125463</v>
      </c>
      <c r="AA38" s="892" t="s">
        <v>2</v>
      </c>
      <c r="AB38" s="893">
        <f>SUM(AB8,$J$35,AB36)</f>
        <v>6.1259975229593602E-2</v>
      </c>
      <c r="AC38" s="891">
        <f>SUM(AD8,$H$35,AC36)</f>
        <v>0.22659559789466316</v>
      </c>
      <c r="AD38" s="892" t="s">
        <v>2</v>
      </c>
      <c r="AE38" s="893">
        <f>SUM(AE8,$J$35,AE36)</f>
        <v>5.93319579883008E-2</v>
      </c>
      <c r="AF38" s="891">
        <f>SUM(AG8,$H$35,AF36)</f>
        <v>0.22141147304829645</v>
      </c>
      <c r="AG38" s="892" t="s">
        <v>2</v>
      </c>
      <c r="AH38" s="893">
        <f>SUM(AH8,$J$35,AH36)</f>
        <v>5.8815050552268808E-2</v>
      </c>
      <c r="AI38" s="891">
        <f>SUM(AJ8,$H$35,AI36)</f>
        <v>0.2257225250175007</v>
      </c>
      <c r="AJ38" s="892" t="s">
        <v>2</v>
      </c>
      <c r="AK38" s="893">
        <f>SUM(AK8,$J$35,AK36)</f>
        <v>6.1295689662003203E-2</v>
      </c>
      <c r="AL38" s="891">
        <f>SUM(AM8,$H$35,AL36)</f>
        <v>0.21946568053099524</v>
      </c>
      <c r="AM38" s="892" t="s">
        <v>2</v>
      </c>
      <c r="AN38" s="893">
        <f>SUM(AN8,$J$35,AN36)</f>
        <v>6.5914553157119998E-2</v>
      </c>
      <c r="AO38" s="891">
        <f>SUM(AP8,$H$35,AO36)</f>
        <v>0.21638896925473791</v>
      </c>
      <c r="AP38" s="892" t="s">
        <v>2</v>
      </c>
      <c r="AQ38" s="893">
        <f>SUM(AQ8,$J$35,AQ36)</f>
        <v>6.5556679818752003E-2</v>
      </c>
      <c r="AR38" s="891">
        <f>SUM(AS8,$H$35,AR36)</f>
        <v>0.21810369430223564</v>
      </c>
      <c r="AS38" s="892" t="s">
        <v>2</v>
      </c>
      <c r="AT38" s="893">
        <f>SUM(AT8,$J$35,AT36)</f>
        <v>6.6315840675788801E-2</v>
      </c>
      <c r="AU38" s="891">
        <f>SUM(AV8,$H$35,AU36)</f>
        <v>0.2199864122224108</v>
      </c>
      <c r="AV38" s="892" t="s">
        <v>2</v>
      </c>
      <c r="AW38" s="893">
        <f>SUM(AW8,$J$35,AW36)</f>
        <v>6.5594920032051196E-2</v>
      </c>
      <c r="AX38" s="891">
        <f>SUM(AY8,$H$35,AX36)</f>
        <v>0.220178768621653</v>
      </c>
      <c r="AY38" s="892" t="s">
        <v>2</v>
      </c>
      <c r="AZ38" s="893">
        <f>SUM(AZ8,$J$35,AZ36)</f>
        <v>6.592699544939519E-2</v>
      </c>
      <c r="BA38" s="891">
        <f>SUM(BB8,$H$35,BA36)</f>
        <v>0.23045031286084403</v>
      </c>
      <c r="BB38" s="892" t="s">
        <v>2</v>
      </c>
      <c r="BC38" s="893">
        <f>SUM(BC8,$J$35,BC36)</f>
        <v>6.3184743476019198E-2</v>
      </c>
      <c r="BD38" s="891">
        <f>SUM(BE8,$H$35,BD36)</f>
        <v>0.24133999580787405</v>
      </c>
      <c r="BE38" s="892" t="s">
        <v>2</v>
      </c>
      <c r="BF38" s="893">
        <f>SUM(BF8,$J$35,BF36)</f>
        <v>6.2330947578828802E-2</v>
      </c>
      <c r="BG38" s="891">
        <f>SUM(BH8,$H$35,BG36)</f>
        <v>0.24295849778789375</v>
      </c>
      <c r="BH38" s="892" t="s">
        <v>2</v>
      </c>
      <c r="BI38" s="893">
        <f>SUM(BI8,$J$35,BI36)</f>
        <v>6.0943557664256E-2</v>
      </c>
      <c r="BJ38" s="891">
        <f>SUM(BK8,$H$35,BJ36)</f>
        <v>0.2466207935689933</v>
      </c>
      <c r="BK38" s="892" t="s">
        <v>2</v>
      </c>
      <c r="BL38" s="893">
        <f>SUM(BL8,$J$35,BL36)</f>
        <v>6.1391549779968003E-2</v>
      </c>
      <c r="BM38" s="891">
        <f>SUM(BN8,$H$35,BM36)</f>
        <v>0.24384802623346177</v>
      </c>
      <c r="BN38" s="892" t="s">
        <v>2</v>
      </c>
      <c r="BO38" s="893">
        <f>SUM(BO8,$J$35,BO36)</f>
        <v>6.1105035405055998E-2</v>
      </c>
      <c r="BP38" s="891">
        <f>SUM(BQ8,$H$35,BP36)</f>
        <v>0.24004195309784576</v>
      </c>
      <c r="BQ38" s="892" t="s">
        <v>2</v>
      </c>
      <c r="BR38" s="893">
        <f>SUM(BR8,$J$35,BR36)</f>
        <v>6.3091589235456005E-2</v>
      </c>
      <c r="BS38" s="891">
        <f>SUM(BT8,$H$35,BS36)</f>
        <v>0.23468098914282595</v>
      </c>
      <c r="BT38" s="892" t="s">
        <v>2</v>
      </c>
      <c r="BU38" s="893">
        <f>SUM(BU8,$J$35,BU36)</f>
        <v>6.2293086610790395E-2</v>
      </c>
      <c r="BV38" s="891">
        <f>SUM(BW8,$H$35,BV36)</f>
        <v>0.2226382979454464</v>
      </c>
      <c r="BW38" s="892" t="s">
        <v>2</v>
      </c>
      <c r="BX38" s="893">
        <f>SUM(BX8,$J$35,BX36)</f>
        <v>6.4623353187840002E-2</v>
      </c>
      <c r="BY38" s="891">
        <f>SUM(BZ8,$H$35,BY36)</f>
        <v>0.2143776979979336</v>
      </c>
      <c r="BZ38" s="892" t="s">
        <v>2</v>
      </c>
      <c r="CA38" s="893">
        <f>SUM(CA8,$J$35,CA36)</f>
        <v>6.4079273070540801E-2</v>
      </c>
      <c r="CB38" s="806"/>
    </row>
    <row r="39" spans="1:81" x14ac:dyDescent="0.2">
      <c r="A39" s="894"/>
      <c r="B39" s="873" t="s">
        <v>22</v>
      </c>
      <c r="C39" s="874"/>
      <c r="D39" s="875" t="s">
        <v>202</v>
      </c>
      <c r="E39" s="874"/>
      <c r="F39" s="874"/>
      <c r="G39" s="874"/>
      <c r="H39" s="876">
        <v>5.4999999999999997E-3</v>
      </c>
      <c r="I39" s="877" t="s">
        <v>2</v>
      </c>
      <c r="J39" s="895">
        <v>3.7100000000000001E-2</v>
      </c>
      <c r="K39" s="876"/>
      <c r="L39" s="877"/>
      <c r="M39" s="895"/>
      <c r="N39" s="876"/>
      <c r="O39" s="877"/>
      <c r="P39" s="895"/>
      <c r="Q39" s="876"/>
      <c r="R39" s="877"/>
      <c r="S39" s="895"/>
      <c r="T39" s="876"/>
      <c r="U39" s="877"/>
      <c r="V39" s="895"/>
      <c r="W39" s="876"/>
      <c r="X39" s="877"/>
      <c r="Y39" s="895"/>
      <c r="Z39" s="876"/>
      <c r="AA39" s="877"/>
      <c r="AB39" s="895"/>
      <c r="AC39" s="876"/>
      <c r="AD39" s="877"/>
      <c r="AE39" s="895"/>
      <c r="AF39" s="876"/>
      <c r="AG39" s="877"/>
      <c r="AH39" s="895"/>
      <c r="AI39" s="876"/>
      <c r="AJ39" s="877"/>
      <c r="AK39" s="895"/>
      <c r="AL39" s="876"/>
      <c r="AM39" s="877"/>
      <c r="AN39" s="895"/>
      <c r="AO39" s="876"/>
      <c r="AP39" s="877"/>
      <c r="AQ39" s="895"/>
      <c r="AR39" s="876"/>
      <c r="AS39" s="877"/>
      <c r="AT39" s="895"/>
      <c r="AU39" s="876"/>
      <c r="AV39" s="877"/>
      <c r="AW39" s="895"/>
      <c r="AX39" s="876"/>
      <c r="AY39" s="877"/>
      <c r="AZ39" s="895"/>
      <c r="BA39" s="876"/>
      <c r="BB39" s="877"/>
      <c r="BC39" s="895"/>
      <c r="BD39" s="876"/>
      <c r="BE39" s="877"/>
      <c r="BF39" s="895"/>
      <c r="BG39" s="876"/>
      <c r="BH39" s="877"/>
      <c r="BI39" s="895"/>
      <c r="BJ39" s="876"/>
      <c r="BK39" s="877"/>
      <c r="BL39" s="895"/>
      <c r="BM39" s="876"/>
      <c r="BN39" s="877"/>
      <c r="BO39" s="895"/>
      <c r="BP39" s="876"/>
      <c r="BQ39" s="877"/>
      <c r="BR39" s="895"/>
      <c r="BS39" s="876"/>
      <c r="BT39" s="877"/>
      <c r="BU39" s="895"/>
      <c r="BV39" s="876"/>
      <c r="BW39" s="877"/>
      <c r="BX39" s="895"/>
      <c r="BY39" s="876"/>
      <c r="BZ39" s="877"/>
      <c r="CA39" s="895"/>
      <c r="CB39" s="806"/>
    </row>
    <row r="40" spans="1:81" ht="12.75" customHeight="1" x14ac:dyDescent="0.2">
      <c r="A40" s="781" t="s">
        <v>1</v>
      </c>
      <c r="B40" s="880" t="s">
        <v>23</v>
      </c>
      <c r="C40" s="881"/>
      <c r="D40" s="882" t="s">
        <v>24</v>
      </c>
      <c r="E40" s="883"/>
      <c r="F40" s="774"/>
      <c r="G40" s="882"/>
      <c r="H40" s="884">
        <f>(SUM(I$15*I$15,J$15*J$15)/POWER($C$14,2))*$C$41</f>
        <v>8.9830544451584035E-5</v>
      </c>
      <c r="I40" s="896" t="s">
        <v>2</v>
      </c>
      <c r="J40" s="897">
        <f>($E$41/100)*(SUM(I$15*I$15,J$15*J$15)/$C$14)</f>
        <v>1.0235117343488005E-3</v>
      </c>
      <c r="K40" s="884">
        <f>(SUM(L$15*L$15,M$15*M$15)/POWER($C$14,2))*$C$41</f>
        <v>8.9284883455999987E-5</v>
      </c>
      <c r="L40" s="896" t="s">
        <v>2</v>
      </c>
      <c r="M40" s="897">
        <f>($E$41/100)*(SUM(L$15*L$15,M$15*M$15)/$C$14)</f>
        <v>1.0172945792E-3</v>
      </c>
      <c r="N40" s="884">
        <f>(SUM(O$15*O$15,P$15*P$15)/POWER($C$14,2))*$C$41</f>
        <v>8.9049852481535972E-5</v>
      </c>
      <c r="O40" s="896" t="s">
        <v>2</v>
      </c>
      <c r="P40" s="897">
        <f>($E$41/100)*(SUM(O$15*O$15,P$15*P$15)/$C$14)</f>
        <v>1.0146166820351999E-3</v>
      </c>
      <c r="Q40" s="884">
        <f>(SUM(R$15*R$15,S$15*S$15)/POWER($C$14,2))*$C$41</f>
        <v>8.910199578009598E-5</v>
      </c>
      <c r="R40" s="896" t="s">
        <v>2</v>
      </c>
      <c r="S40" s="897">
        <f>($E$41/100)*(SUM(R$15*R$15,S$15*S$15)/$C$14)</f>
        <v>1.0152107926271999E-3</v>
      </c>
      <c r="T40" s="884">
        <f>(SUM(U$15*U$15,V$15*V$15)/POWER($C$14,2))*$C$41</f>
        <v>9.1198966366207992E-5</v>
      </c>
      <c r="U40" s="896" t="s">
        <v>2</v>
      </c>
      <c r="V40" s="897">
        <f>($E$41/100)*(SUM(U$15*U$15,V$15*V$15)/$C$14)</f>
        <v>1.0391032672255999E-3</v>
      </c>
      <c r="W40" s="884">
        <f>(SUM(X$15*X$15,Y$15*Y$15)/POWER($C$14,2))*$C$41</f>
        <v>9.8895257063423954E-5</v>
      </c>
      <c r="X40" s="896" t="s">
        <v>2</v>
      </c>
      <c r="Y40" s="897">
        <f>($E$41/100)*(SUM(X$15*X$15,Y$15*Y$15)/$C$14)</f>
        <v>1.1267933050367997E-3</v>
      </c>
      <c r="Z40" s="884">
        <f>(SUM(AA$15*AA$15,AB$15*AB$15)/POWER($C$14,2))*$C$41</f>
        <v>1.1617381237759998E-4</v>
      </c>
      <c r="AA40" s="896" t="s">
        <v>2</v>
      </c>
      <c r="AB40" s="897">
        <f>($E$41/100)*(SUM(AA$15*AA$15,AB$15*AB$15)/$C$14)</f>
        <v>1.32366180032E-3</v>
      </c>
      <c r="AC40" s="884">
        <f>(SUM(AD$15*AD$15,AE$15*AE$15)/POWER($C$14,2))*$C$41</f>
        <v>1.2953119580569599E-4</v>
      </c>
      <c r="AD40" s="896" t="s">
        <v>2</v>
      </c>
      <c r="AE40" s="897">
        <f>($E$41/100)*(SUM(AD$15*AD$15,AE$15*AE$15)/$C$14)</f>
        <v>1.4758532265472001E-3</v>
      </c>
      <c r="AF40" s="884">
        <f>(SUM(AG$15*AG$15,AH$15*AH$15)/POWER($C$14,2))*$C$41</f>
        <v>1.4158004082483194E-4</v>
      </c>
      <c r="AG40" s="896" t="s">
        <v>2</v>
      </c>
      <c r="AH40" s="897">
        <f>($E$41/100)*(SUM(AG$15*AG$15,AH$15*AH$15)/$C$14)</f>
        <v>1.6131354209023997E-3</v>
      </c>
      <c r="AI40" s="884">
        <f>(SUM(AJ$15*AJ$15,AK$15*AK$15)/POWER($C$14,2))*$C$41</f>
        <v>1.5748258652569595E-4</v>
      </c>
      <c r="AJ40" s="896" t="s">
        <v>2</v>
      </c>
      <c r="AK40" s="897">
        <f>($E$41/100)*(SUM(AJ$15*AJ$15,AK$15*AK$15)/$C$14)</f>
        <v>1.7943259305471997E-3</v>
      </c>
      <c r="AL40" s="884">
        <f>(SUM(AM$15*AM$15,AN$15*AN$15)/POWER($C$14,2))*$C$41</f>
        <v>1.6111192950784E-4</v>
      </c>
      <c r="AM40" s="896" t="s">
        <v>2</v>
      </c>
      <c r="AN40" s="897">
        <f>($E$41/100)*(SUM(AM$15*AM$15,AN$15*AN$15)/$C$14)</f>
        <v>1.835677957888E-3</v>
      </c>
      <c r="AO40" s="884">
        <f>(SUM(AP$15*AP$15,AQ$15*AQ$15)/POWER($C$14,2))*$C$41</f>
        <v>1.5080586156851199E-4</v>
      </c>
      <c r="AP40" s="896" t="s">
        <v>2</v>
      </c>
      <c r="AQ40" s="897">
        <f>($E$41/100)*(SUM(AP$15*AP$15,AQ$15*AQ$15)/$C$14)</f>
        <v>1.7182526262784E-3</v>
      </c>
      <c r="AR40" s="884">
        <f>(SUM(AS$15*AS$15,AT$15*AT$15)/POWER($C$14,2))*$C$41</f>
        <v>1.4679148968345601E-4</v>
      </c>
      <c r="AS40" s="896" t="s">
        <v>2</v>
      </c>
      <c r="AT40" s="897">
        <f>($E$41/100)*(SUM(AS$15*AS$15,AT$15*AT$15)/$C$14)</f>
        <v>1.6725136545792001E-3</v>
      </c>
      <c r="AU40" s="884">
        <f>(SUM(AV$15*AV$15,AW$15*AW$15)/POWER($C$14,2))*$C$41</f>
        <v>1.403754689536E-4</v>
      </c>
      <c r="AV40" s="896" t="s">
        <v>2</v>
      </c>
      <c r="AW40" s="897">
        <f>($E$41/100)*(SUM(AV$15*AV$15,AW$15*AW$15)/$C$14)</f>
        <v>1.5994107635200002E-3</v>
      </c>
      <c r="AX40" s="884">
        <f>(SUM(AY$15*AY$15,AZ$15*AZ$15)/POWER($C$14,2))*$C$41</f>
        <v>1.3314911731916797E-4</v>
      </c>
      <c r="AY40" s="896" t="s">
        <v>2</v>
      </c>
      <c r="AZ40" s="897">
        <f>($E$41/100)*(SUM(AY$15*AY$15,AZ$15*AZ$15)/$C$14)</f>
        <v>1.5170751198976E-3</v>
      </c>
      <c r="BA40" s="884">
        <f>(SUM(BB$15*BB$15,BC$15*BC$15)/POWER($C$14,2))*$C$41</f>
        <v>1.2088813216768E-4</v>
      </c>
      <c r="BB40" s="896" t="s">
        <v>2</v>
      </c>
      <c r="BC40" s="897">
        <f>($E$41/100)*(SUM(BB$15*BB$15,BC$15*BC$15)/$C$14)</f>
        <v>1.3773758421760001E-3</v>
      </c>
      <c r="BD40" s="884">
        <f>(SUM(BE$15*BE$15,BF$15*BF$15)/POWER($C$14,2))*$C$41</f>
        <v>1.3244741475737601E-4</v>
      </c>
      <c r="BE40" s="896" t="s">
        <v>2</v>
      </c>
      <c r="BF40" s="897">
        <f>($E$41/100)*(SUM(BE$15*BE$15,BF$15*BF$15)/$C$14)</f>
        <v>1.5090800575232005E-3</v>
      </c>
      <c r="BG40" s="884">
        <f>(SUM(BH$15*BH$15,BI$15*BI$15)/POWER($C$14,2))*$C$41</f>
        <v>1.3157322332569592E-4</v>
      </c>
      <c r="BH40" s="896" t="s">
        <v>2</v>
      </c>
      <c r="BI40" s="897">
        <f>($E$41/100)*(SUM(BH$15*BH$15,BI$15*BI$15)/$C$14)</f>
        <v>1.4991196905471994E-3</v>
      </c>
      <c r="BJ40" s="884">
        <f>(SUM(BK$15*BK$15,BL$15*BL$15)/POWER($C$14,2))*$C$41</f>
        <v>1.1372245365759998E-4</v>
      </c>
      <c r="BK40" s="896" t="s">
        <v>2</v>
      </c>
      <c r="BL40" s="897">
        <f>($E$41/100)*(SUM(BK$15*BK$15,BL$15*BL$15)/$C$14)</f>
        <v>1.2957314963200001E-3</v>
      </c>
      <c r="BM40" s="884">
        <f>(SUM(BN$15*BN$15,BO$15*BO$15)/POWER($C$14,2))*$C$41</f>
        <v>1.1133277776486398E-4</v>
      </c>
      <c r="BN40" s="896" t="s">
        <v>2</v>
      </c>
      <c r="BO40" s="897">
        <f>($E$41/100)*(SUM(BN$15*BN$15,BO$15*BO$15)/$C$14)</f>
        <v>1.2685039944448E-3</v>
      </c>
      <c r="BP40" s="884">
        <f>(SUM(BQ$15*BQ$15,BR$15*BR$15)/POWER($C$14,2))*$C$41</f>
        <v>1.0789228023807999E-4</v>
      </c>
      <c r="BQ40" s="896" t="s">
        <v>2</v>
      </c>
      <c r="BR40" s="897">
        <f>($E$41/100)*(SUM(BQ$15*BQ$15,BR$15*BR$15)/$C$14)</f>
        <v>1.2293036354560001E-3</v>
      </c>
      <c r="BS40" s="884">
        <f>(SUM(BT$15*BT$15,BU$15*BU$15)/POWER($C$14,2))*$C$41</f>
        <v>1.0053214192639997E-4</v>
      </c>
      <c r="BT40" s="896" t="s">
        <v>2</v>
      </c>
      <c r="BU40" s="897">
        <f>($E$41/100)*(SUM(BT$15*BT$15,BU$15*BU$15)/$C$14)</f>
        <v>1.1454436524799998E-3</v>
      </c>
      <c r="BV40" s="884">
        <f>(SUM(BW$15*BW$15,BX$15*BX$15)/POWER($C$14,2))*$C$41</f>
        <v>9.1415576453119998E-5</v>
      </c>
      <c r="BW40" s="896" t="s">
        <v>2</v>
      </c>
      <c r="BX40" s="897">
        <f>($E$41/100)*(SUM(BW$15*BW$15,BX$15*BX$15)/$C$14)</f>
        <v>1.0415712803840001E-3</v>
      </c>
      <c r="BY40" s="884">
        <f>(SUM(BZ$15*BZ$15,CA$15*CA$15)/POWER($C$14,2))*$C$41</f>
        <v>8.4451376834560011E-5</v>
      </c>
      <c r="BZ40" s="896" t="s">
        <v>2</v>
      </c>
      <c r="CA40" s="897">
        <f>($E$41/100)*(SUM(BZ$15*BZ$15,CA$15*CA$15)/$C$14)</f>
        <v>9.6222254579200024E-4</v>
      </c>
      <c r="CB40" s="806"/>
    </row>
    <row r="41" spans="1:81" ht="12" customHeight="1" thickBot="1" x14ac:dyDescent="0.25">
      <c r="A41" s="898"/>
      <c r="B41" s="776" t="s">
        <v>26</v>
      </c>
      <c r="C41" s="777">
        <v>2.2599999999999999E-2</v>
      </c>
      <c r="D41" s="778" t="s">
        <v>27</v>
      </c>
      <c r="E41" s="2313">
        <v>10.3</v>
      </c>
      <c r="F41" s="2313"/>
      <c r="G41" s="473"/>
      <c r="H41" s="899"/>
      <c r="I41" s="900"/>
      <c r="J41" s="901"/>
      <c r="K41" s="899"/>
      <c r="L41" s="900"/>
      <c r="M41" s="901"/>
      <c r="N41" s="899"/>
      <c r="O41" s="900"/>
      <c r="P41" s="901"/>
      <c r="Q41" s="899"/>
      <c r="R41" s="900"/>
      <c r="S41" s="901"/>
      <c r="T41" s="899"/>
      <c r="U41" s="900"/>
      <c r="V41" s="901"/>
      <c r="W41" s="899"/>
      <c r="X41" s="900"/>
      <c r="Y41" s="901"/>
      <c r="Z41" s="899"/>
      <c r="AA41" s="900"/>
      <c r="AB41" s="901"/>
      <c r="AC41" s="899"/>
      <c r="AD41" s="900"/>
      <c r="AE41" s="901"/>
      <c r="AF41" s="899"/>
      <c r="AG41" s="900"/>
      <c r="AH41" s="901"/>
      <c r="AI41" s="899"/>
      <c r="AJ41" s="900"/>
      <c r="AK41" s="901"/>
      <c r="AL41" s="899"/>
      <c r="AM41" s="900"/>
      <c r="AN41" s="901"/>
      <c r="AO41" s="899"/>
      <c r="AP41" s="900"/>
      <c r="AQ41" s="901"/>
      <c r="AR41" s="899"/>
      <c r="AS41" s="900"/>
      <c r="AT41" s="901"/>
      <c r="AU41" s="899"/>
      <c r="AV41" s="900"/>
      <c r="AW41" s="901"/>
      <c r="AX41" s="899"/>
      <c r="AY41" s="900"/>
      <c r="AZ41" s="901"/>
      <c r="BA41" s="899"/>
      <c r="BB41" s="900"/>
      <c r="BC41" s="901"/>
      <c r="BD41" s="899"/>
      <c r="BE41" s="900"/>
      <c r="BF41" s="901"/>
      <c r="BG41" s="899"/>
      <c r="BH41" s="900"/>
      <c r="BI41" s="901"/>
      <c r="BJ41" s="899"/>
      <c r="BK41" s="900"/>
      <c r="BL41" s="901"/>
      <c r="BM41" s="899"/>
      <c r="BN41" s="900"/>
      <c r="BO41" s="901"/>
      <c r="BP41" s="899"/>
      <c r="BQ41" s="900"/>
      <c r="BR41" s="901"/>
      <c r="BS41" s="899"/>
      <c r="BT41" s="900"/>
      <c r="BU41" s="901"/>
      <c r="BV41" s="899"/>
      <c r="BW41" s="900"/>
      <c r="BX41" s="901"/>
      <c r="BY41" s="899"/>
      <c r="BZ41" s="900"/>
      <c r="CA41" s="901"/>
      <c r="CB41" s="806"/>
    </row>
    <row r="42" spans="1:81" ht="13.5" thickBot="1" x14ac:dyDescent="0.25">
      <c r="A42" s="902"/>
      <c r="B42" s="2310" t="s">
        <v>29</v>
      </c>
      <c r="C42" s="2311"/>
      <c r="D42" s="2311"/>
      <c r="E42" s="2311"/>
      <c r="F42" s="2311"/>
      <c r="G42" s="2311"/>
      <c r="H42" s="891">
        <f>SUM(I15,$H$39,H40)</f>
        <v>0.16130983054445161</v>
      </c>
      <c r="I42" s="892" t="s">
        <v>2</v>
      </c>
      <c r="J42" s="893">
        <f>SUM(J15,$J$39,J40)</f>
        <v>6.2491511734348804E-2</v>
      </c>
      <c r="K42" s="891">
        <f>SUM(L15,$H$39,K40)</f>
        <v>0.16098128488345601</v>
      </c>
      <c r="L42" s="892" t="s">
        <v>2</v>
      </c>
      <c r="M42" s="893">
        <f>SUM(M15,$J$39,M40)</f>
        <v>6.14612945792E-2</v>
      </c>
      <c r="N42" s="891">
        <f>SUM(O15,$H$39,N40)</f>
        <v>0.16065304985248152</v>
      </c>
      <c r="O42" s="892" t="s">
        <v>2</v>
      </c>
      <c r="P42" s="893">
        <f>SUM(P15,$J$39,P40)</f>
        <v>6.2234616682035199E-2</v>
      </c>
      <c r="Q42" s="891">
        <f>SUM(R15,$H$39,Q40)</f>
        <v>0.1606051019957801</v>
      </c>
      <c r="R42" s="892" t="s">
        <v>2</v>
      </c>
      <c r="S42" s="893">
        <f>SUM(S15,$J$39,S40)</f>
        <v>6.2835210792627202E-2</v>
      </c>
      <c r="T42" s="891">
        <f>SUM(U15,$H$39,T40)</f>
        <v>0.16258319896636619</v>
      </c>
      <c r="U42" s="892" t="s">
        <v>2</v>
      </c>
      <c r="V42" s="893">
        <f>SUM(V15,$J$39,V40)</f>
        <v>6.2107103267225607E-2</v>
      </c>
      <c r="W42" s="891">
        <f>SUM(X15,$H$39,W40)</f>
        <v>0.16920689525706339</v>
      </c>
      <c r="X42" s="892" t="s">
        <v>2</v>
      </c>
      <c r="Y42" s="893">
        <f>SUM(Y15,$J$39,Y40)</f>
        <v>6.2346793305036799E-2</v>
      </c>
      <c r="Z42" s="891">
        <f>SUM(AA15,$H$39,Z40)</f>
        <v>0.18327217381237759</v>
      </c>
      <c r="AA42" s="892" t="s">
        <v>2</v>
      </c>
      <c r="AB42" s="893">
        <f>SUM(AB15,$J$39,AB40)</f>
        <v>6.2215661800320003E-2</v>
      </c>
      <c r="AC42" s="891">
        <f>SUM(AD15,$H$39,AC40)</f>
        <v>0.1934135311958057</v>
      </c>
      <c r="AD42" s="892" t="s">
        <v>2</v>
      </c>
      <c r="AE42" s="893">
        <f>SUM(AE15,$J$39,AE40)</f>
        <v>6.2215853226547199E-2</v>
      </c>
      <c r="AF42" s="891">
        <f>SUM(AG15,$H$39,AF40)</f>
        <v>0.20197758004082483</v>
      </c>
      <c r="AG42" s="892" t="s">
        <v>2</v>
      </c>
      <c r="AH42" s="893">
        <f>SUM(AH15,$J$39,AH40)</f>
        <v>6.3329135420902405E-2</v>
      </c>
      <c r="AI42" s="891">
        <f>SUM(AJ15,$H$39,AI40)</f>
        <v>0.21187348258652569</v>
      </c>
      <c r="AJ42" s="892" t="s">
        <v>2</v>
      </c>
      <c r="AK42" s="893">
        <f>SUM(AK15,$J$39,AK40)</f>
        <v>7.0934325930547187E-2</v>
      </c>
      <c r="AL42" s="891">
        <f>SUM(AM15,$H$39,AL40)</f>
        <v>0.21333311192950785</v>
      </c>
      <c r="AM42" s="892" t="s">
        <v>2</v>
      </c>
      <c r="AN42" s="893">
        <f>SUM(AN15,$J$39,AN40)</f>
        <v>7.6719677957888005E-2</v>
      </c>
      <c r="AO42" s="891">
        <f>SUM(AP15,$H$39,AO40)</f>
        <v>0.20666680586156852</v>
      </c>
      <c r="AP42" s="892" t="s">
        <v>2</v>
      </c>
      <c r="AQ42" s="893">
        <f>SUM(AQ15,$J$39,AQ40)</f>
        <v>7.4842252626278388E-2</v>
      </c>
      <c r="AR42" s="891">
        <f>SUM(AS15,$H$39,AR40)</f>
        <v>0.20364679148968348</v>
      </c>
      <c r="AS42" s="892" t="s">
        <v>2</v>
      </c>
      <c r="AT42" s="893">
        <f>SUM(AT15,$J$39,AT40)</f>
        <v>7.6068513654579187E-2</v>
      </c>
      <c r="AU42" s="891">
        <f>SUM(AV15,$H$39,AU40)</f>
        <v>0.1989123754689536</v>
      </c>
      <c r="AV42" s="892" t="s">
        <v>2</v>
      </c>
      <c r="AW42" s="893">
        <f>SUM(AW15,$J$39,AW40)</f>
        <v>7.6995410763519997E-2</v>
      </c>
      <c r="AX42" s="891">
        <f>SUM(AY15,$H$39,AX40)</f>
        <v>0.19456114911731917</v>
      </c>
      <c r="AY42" s="892" t="s">
        <v>2</v>
      </c>
      <c r="AZ42" s="893">
        <f>SUM(AZ15,$J$39,AZ40)</f>
        <v>7.2209075119897603E-2</v>
      </c>
      <c r="BA42" s="891">
        <f>SUM(BB15,$H$39,BA40)</f>
        <v>0.18685288813216769</v>
      </c>
      <c r="BB42" s="892" t="s">
        <v>2</v>
      </c>
      <c r="BC42" s="893">
        <f>SUM(BC15,$J$39,BC40)</f>
        <v>6.2693375842175991E-2</v>
      </c>
      <c r="BD42" s="891">
        <f>SUM(BE15,$H$39,BD40)</f>
        <v>0.19557644741475738</v>
      </c>
      <c r="BE42" s="892" t="s">
        <v>2</v>
      </c>
      <c r="BF42" s="893">
        <f>SUM(BF15,$J$39,BF40)</f>
        <v>6.2049080057523201E-2</v>
      </c>
      <c r="BG42" s="891">
        <f>SUM(BH15,$H$39,BG40)</f>
        <v>0.19484757322332566</v>
      </c>
      <c r="BH42" s="892" t="s">
        <v>2</v>
      </c>
      <c r="BI42" s="893">
        <f>SUM(BI15,$J$39,BI40)</f>
        <v>6.2759119690547205E-2</v>
      </c>
      <c r="BJ42" s="891">
        <f>SUM(BK15,$H$39,BJ40)</f>
        <v>0.18158172245365758</v>
      </c>
      <c r="BK42" s="892" t="s">
        <v>2</v>
      </c>
      <c r="BL42" s="893">
        <f>SUM(BL15,$J$39,BL40)</f>
        <v>6.0419731496319996E-2</v>
      </c>
      <c r="BM42" s="891">
        <f>SUM(BN15,$H$39,BM40)</f>
        <v>0.17961133277776486</v>
      </c>
      <c r="BN42" s="892" t="s">
        <v>2</v>
      </c>
      <c r="BO42" s="893">
        <f>SUM(BO15,$J$39,BO40)</f>
        <v>6.1016503994444804E-2</v>
      </c>
      <c r="BP42" s="891">
        <f>SUM(BQ15,$H$39,BP40)</f>
        <v>0.17677589228023807</v>
      </c>
      <c r="BQ42" s="892" t="s">
        <v>2</v>
      </c>
      <c r="BR42" s="893">
        <f>SUM(BR15,$J$39,BR40)</f>
        <v>6.1545303635456003E-2</v>
      </c>
      <c r="BS42" s="891">
        <f>SUM(BT15,$H$39,BS40)</f>
        <v>0.17085653214192639</v>
      </c>
      <c r="BT42" s="892" t="s">
        <v>2</v>
      </c>
      <c r="BU42" s="893">
        <f>SUM(BU15,$J$39,BU40)</f>
        <v>6.0437443652479994E-2</v>
      </c>
      <c r="BV42" s="891">
        <f>SUM(BW15,$H$39,BV40)</f>
        <v>0.16275941557645313</v>
      </c>
      <c r="BW42" s="892" t="s">
        <v>2</v>
      </c>
      <c r="BX42" s="893">
        <f>SUM(BX15,$J$39,BX40)</f>
        <v>6.2205571280384002E-2</v>
      </c>
      <c r="BY42" s="891">
        <f>SUM(BZ15,$H$39,BY40)</f>
        <v>0.15644845137683455</v>
      </c>
      <c r="BZ42" s="892" t="s">
        <v>2</v>
      </c>
      <c r="CA42" s="893">
        <f>SUM(CA15,$J$39,CA40)</f>
        <v>6.2454222545792006E-2</v>
      </c>
      <c r="CB42" s="806"/>
    </row>
    <row r="43" spans="1:81" x14ac:dyDescent="0.2">
      <c r="A43" s="787" t="s">
        <v>20</v>
      </c>
      <c r="B43" s="903"/>
      <c r="C43" s="789"/>
      <c r="D43" s="788"/>
      <c r="E43" s="825"/>
      <c r="F43" s="473"/>
      <c r="G43" s="473"/>
      <c r="H43" s="904"/>
      <c r="I43" s="905"/>
      <c r="J43" s="906"/>
      <c r="K43" s="904"/>
      <c r="L43" s="905"/>
      <c r="M43" s="906"/>
      <c r="N43" s="904"/>
      <c r="O43" s="905"/>
      <c r="P43" s="906"/>
      <c r="Q43" s="904"/>
      <c r="R43" s="905"/>
      <c r="S43" s="906"/>
      <c r="T43" s="904"/>
      <c r="U43" s="905"/>
      <c r="V43" s="906"/>
      <c r="W43" s="904"/>
      <c r="X43" s="905"/>
      <c r="Y43" s="906"/>
      <c r="Z43" s="904"/>
      <c r="AA43" s="905"/>
      <c r="AB43" s="906"/>
      <c r="AC43" s="904"/>
      <c r="AD43" s="905"/>
      <c r="AE43" s="906"/>
      <c r="AF43" s="904"/>
      <c r="AG43" s="905"/>
      <c r="AH43" s="906"/>
      <c r="AI43" s="904"/>
      <c r="AJ43" s="905"/>
      <c r="AK43" s="906"/>
      <c r="AL43" s="904"/>
      <c r="AM43" s="905"/>
      <c r="AN43" s="906"/>
      <c r="AO43" s="904"/>
      <c r="AP43" s="905"/>
      <c r="AQ43" s="906"/>
      <c r="AR43" s="904"/>
      <c r="AS43" s="905"/>
      <c r="AT43" s="906"/>
      <c r="AU43" s="904"/>
      <c r="AV43" s="905"/>
      <c r="AW43" s="906"/>
      <c r="AX43" s="904"/>
      <c r="AY43" s="905"/>
      <c r="AZ43" s="906"/>
      <c r="BA43" s="904"/>
      <c r="BB43" s="905"/>
      <c r="BC43" s="906"/>
      <c r="BD43" s="904"/>
      <c r="BE43" s="905"/>
      <c r="BF43" s="906"/>
      <c r="BG43" s="904"/>
      <c r="BH43" s="905"/>
      <c r="BI43" s="906"/>
      <c r="BJ43" s="904"/>
      <c r="BK43" s="905"/>
      <c r="BL43" s="906"/>
      <c r="BM43" s="904"/>
      <c r="BN43" s="905"/>
      <c r="BO43" s="906"/>
      <c r="BP43" s="904"/>
      <c r="BQ43" s="905"/>
      <c r="BR43" s="906"/>
      <c r="BS43" s="904"/>
      <c r="BT43" s="905"/>
      <c r="BU43" s="906"/>
      <c r="BV43" s="904"/>
      <c r="BW43" s="905"/>
      <c r="BX43" s="906"/>
      <c r="BY43" s="904"/>
      <c r="BZ43" s="905"/>
      <c r="CA43" s="906"/>
      <c r="CB43" s="806"/>
    </row>
    <row r="44" spans="1:81" ht="15.75" thickBot="1" x14ac:dyDescent="0.3">
      <c r="A44" s="791" t="s">
        <v>21</v>
      </c>
      <c r="B44" s="792"/>
      <c r="C44" s="793"/>
      <c r="D44" s="792"/>
      <c r="E44" s="828"/>
      <c r="F44" s="792" t="s">
        <v>25</v>
      </c>
      <c r="G44" s="828"/>
      <c r="H44" s="907">
        <f>SUM(H38,H42)</f>
        <v>0.37659311823766839</v>
      </c>
      <c r="I44" s="908" t="s">
        <v>2</v>
      </c>
      <c r="J44" s="909">
        <f>SUM(J38,J42)</f>
        <v>0.12789296293480962</v>
      </c>
      <c r="K44" s="907">
        <f>SUM(K38,K42)</f>
        <v>0.37218616013989891</v>
      </c>
      <c r="L44" s="908" t="s">
        <v>2</v>
      </c>
      <c r="M44" s="909">
        <f>SUM(M38,M42)</f>
        <v>0.124693419708928</v>
      </c>
      <c r="N44" s="907">
        <f>SUM(N38,N42)</f>
        <v>0.36759548549575072</v>
      </c>
      <c r="O44" s="908" t="s">
        <v>2</v>
      </c>
      <c r="P44" s="909">
        <f>SUM(P38,P42)</f>
        <v>0.1238411049795072</v>
      </c>
      <c r="Q44" s="907">
        <f>SUM(Q38,Q42)</f>
        <v>0.36411866107065344</v>
      </c>
      <c r="R44" s="908" t="s">
        <v>2</v>
      </c>
      <c r="S44" s="909">
        <f>SUM(S38,S42)</f>
        <v>0.12438593563983361</v>
      </c>
      <c r="T44" s="907">
        <f>SUM(T38,T42)</f>
        <v>0.36509532879817419</v>
      </c>
      <c r="U44" s="908" t="s">
        <v>2</v>
      </c>
      <c r="V44" s="909">
        <f>SUM(V38,V42)</f>
        <v>0.12351348475202562</v>
      </c>
      <c r="W44" s="907">
        <f>SUM(W38,W42)</f>
        <v>0.3738096915770972</v>
      </c>
      <c r="X44" s="908" t="s">
        <v>2</v>
      </c>
      <c r="Y44" s="909">
        <f>SUM(Y38,Y42)</f>
        <v>0.12196766602291199</v>
      </c>
      <c r="Z44" s="907">
        <f>SUM(Z38,Z42)</f>
        <v>0.4015111802736322</v>
      </c>
      <c r="AA44" s="908" t="s">
        <v>2</v>
      </c>
      <c r="AB44" s="909">
        <f>SUM(AB38,AB42)</f>
        <v>0.1234756370299136</v>
      </c>
      <c r="AC44" s="907">
        <f>SUM(AC38,AC42)</f>
        <v>0.42000912909046884</v>
      </c>
      <c r="AD44" s="908" t="s">
        <v>2</v>
      </c>
      <c r="AE44" s="909">
        <f>SUM(AE38,AE42)</f>
        <v>0.12154781121484801</v>
      </c>
      <c r="AF44" s="907">
        <f>SUM(AF38,AF42)</f>
        <v>0.42338905308912128</v>
      </c>
      <c r="AG44" s="908" t="s">
        <v>2</v>
      </c>
      <c r="AH44" s="909">
        <f>SUM(AH38,AH42)</f>
        <v>0.12214418597317121</v>
      </c>
      <c r="AI44" s="907">
        <f>SUM(AI38,AI42)</f>
        <v>0.43759600760402639</v>
      </c>
      <c r="AJ44" s="908" t="s">
        <v>2</v>
      </c>
      <c r="AK44" s="909">
        <f>SUM(AK38,AK42)</f>
        <v>0.13223001559255038</v>
      </c>
      <c r="AL44" s="907">
        <f>SUM(AL38,AL42)</f>
        <v>0.43279879246050312</v>
      </c>
      <c r="AM44" s="908" t="s">
        <v>2</v>
      </c>
      <c r="AN44" s="909">
        <f>SUM(AN38,AN42)</f>
        <v>0.142634231115008</v>
      </c>
      <c r="AO44" s="907">
        <f>SUM(AO38,AO42)</f>
        <v>0.42305577511630643</v>
      </c>
      <c r="AP44" s="908" t="s">
        <v>2</v>
      </c>
      <c r="AQ44" s="909">
        <f>SUM(AQ38,AQ42)</f>
        <v>0.14039893244503038</v>
      </c>
      <c r="AR44" s="907">
        <f>SUM(AR38,AR42)</f>
        <v>0.42175048579191909</v>
      </c>
      <c r="AS44" s="908" t="s">
        <v>2</v>
      </c>
      <c r="AT44" s="909">
        <f>SUM(AT38,AT42)</f>
        <v>0.142384354330368</v>
      </c>
      <c r="AU44" s="907">
        <f>SUM(AU38,AU42)</f>
        <v>0.4188987876913644</v>
      </c>
      <c r="AV44" s="908" t="s">
        <v>2</v>
      </c>
      <c r="AW44" s="909">
        <f>SUM(AW38,AW42)</f>
        <v>0.14259033079557121</v>
      </c>
      <c r="AX44" s="907">
        <f>SUM(AX38,AX42)</f>
        <v>0.41473991773897217</v>
      </c>
      <c r="AY44" s="908" t="s">
        <v>2</v>
      </c>
      <c r="AZ44" s="909">
        <f>SUM(AZ38,AZ42)</f>
        <v>0.13813607056929278</v>
      </c>
      <c r="BA44" s="907">
        <f>SUM(BA38,BA42)</f>
        <v>0.41730320099301171</v>
      </c>
      <c r="BB44" s="908" t="s">
        <v>2</v>
      </c>
      <c r="BC44" s="909">
        <f>SUM(BC38,BC42)</f>
        <v>0.1258781193181952</v>
      </c>
      <c r="BD44" s="907">
        <f>SUM(BD38,BD42)</f>
        <v>0.43691644322263146</v>
      </c>
      <c r="BE44" s="908" t="s">
        <v>2</v>
      </c>
      <c r="BF44" s="909">
        <f>SUM(BF38,BF42)</f>
        <v>0.124380027636352</v>
      </c>
      <c r="BG44" s="907">
        <f>SUM(BG38,BG42)</f>
        <v>0.43780607101121938</v>
      </c>
      <c r="BH44" s="908" t="s">
        <v>2</v>
      </c>
      <c r="BI44" s="909">
        <f>SUM(BI38,BI42)</f>
        <v>0.1237026773548032</v>
      </c>
      <c r="BJ44" s="907">
        <f>SUM(BJ38,BJ42)</f>
        <v>0.42820251602265091</v>
      </c>
      <c r="BK44" s="908" t="s">
        <v>2</v>
      </c>
      <c r="BL44" s="909">
        <f>SUM(BL38,BL42)</f>
        <v>0.121811281276288</v>
      </c>
      <c r="BM44" s="907">
        <f>SUM(BM38,BM42)</f>
        <v>0.42345935901122667</v>
      </c>
      <c r="BN44" s="908" t="s">
        <v>2</v>
      </c>
      <c r="BO44" s="909">
        <f>SUM(BO38,BO42)</f>
        <v>0.12212153939950079</v>
      </c>
      <c r="BP44" s="907">
        <f>SUM(BP38,BP42)</f>
        <v>0.41681784537808386</v>
      </c>
      <c r="BQ44" s="908" t="s">
        <v>2</v>
      </c>
      <c r="BR44" s="909">
        <f>SUM(BR38,BR42)</f>
        <v>0.12463689287091201</v>
      </c>
      <c r="BS44" s="907">
        <f>SUM(BS38,BS42)</f>
        <v>0.40553752128475234</v>
      </c>
      <c r="BT44" s="908" t="s">
        <v>2</v>
      </c>
      <c r="BU44" s="909">
        <f>SUM(BU38,BU42)</f>
        <v>0.12273053026327038</v>
      </c>
      <c r="BV44" s="907">
        <f>SUM(BV38,BV42)</f>
        <v>0.38539771352189955</v>
      </c>
      <c r="BW44" s="908" t="s">
        <v>2</v>
      </c>
      <c r="BX44" s="909">
        <f>SUM(BX38,BX42)</f>
        <v>0.126828924468224</v>
      </c>
      <c r="BY44" s="907">
        <f>SUM(BY38,BY42)</f>
        <v>0.37082614937476815</v>
      </c>
      <c r="BZ44" s="908" t="s">
        <v>2</v>
      </c>
      <c r="CA44" s="909">
        <f>SUM(CA38,CA42)</f>
        <v>0.12653349561633281</v>
      </c>
      <c r="CB44" s="806"/>
    </row>
    <row r="46" spans="1:81" x14ac:dyDescent="0.2">
      <c r="G46" s="910"/>
      <c r="H46" s="911"/>
      <c r="I46" s="911"/>
      <c r="J46" s="911"/>
      <c r="K46" s="911"/>
      <c r="L46" s="911"/>
      <c r="M46" s="911"/>
      <c r="N46" s="911"/>
      <c r="O46" s="911"/>
      <c r="P46" s="911"/>
      <c r="Q46" s="911"/>
      <c r="R46" s="911"/>
      <c r="S46" s="911"/>
      <c r="T46" s="911"/>
      <c r="U46" s="911"/>
      <c r="V46" s="911"/>
      <c r="W46" s="911"/>
      <c r="X46" s="911"/>
      <c r="Y46" s="911"/>
      <c r="Z46" s="911"/>
      <c r="AA46" s="911"/>
      <c r="AB46" s="911"/>
      <c r="AC46" s="911"/>
      <c r="AD46" s="911"/>
      <c r="AE46" s="911"/>
      <c r="AF46" s="911"/>
      <c r="AG46" s="911"/>
      <c r="AH46" s="911"/>
      <c r="AI46" s="911"/>
      <c r="AJ46" s="911"/>
      <c r="AK46" s="911"/>
      <c r="AL46" s="911"/>
      <c r="AM46" s="911"/>
      <c r="AN46" s="911"/>
      <c r="AO46" s="911"/>
      <c r="AP46" s="911"/>
      <c r="AQ46" s="911"/>
      <c r="AR46" s="911"/>
      <c r="AS46" s="911"/>
      <c r="AT46" s="911"/>
      <c r="AU46" s="911"/>
      <c r="AV46" s="911"/>
      <c r="AW46" s="911"/>
      <c r="AX46" s="911"/>
      <c r="AY46" s="911"/>
      <c r="AZ46" s="911"/>
      <c r="BA46" s="911"/>
      <c r="BB46" s="911"/>
      <c r="BC46" s="911"/>
      <c r="BD46" s="911"/>
      <c r="BE46" s="911"/>
      <c r="BF46" s="911"/>
      <c r="BG46" s="911"/>
      <c r="BH46" s="911"/>
      <c r="BI46" s="911"/>
      <c r="BJ46" s="911"/>
      <c r="BK46" s="911"/>
      <c r="BL46" s="911"/>
      <c r="BM46" s="911"/>
      <c r="BN46" s="911"/>
      <c r="BO46" s="911"/>
      <c r="BP46" s="911"/>
      <c r="BQ46" s="911"/>
      <c r="BR46" s="911"/>
      <c r="BS46" s="911"/>
      <c r="BT46" s="911"/>
      <c r="BU46" s="911"/>
      <c r="BV46" s="911"/>
      <c r="BW46" s="911"/>
      <c r="BX46" s="911"/>
      <c r="BY46" s="911"/>
      <c r="BZ46" s="911"/>
      <c r="CA46" s="911"/>
    </row>
    <row r="47" spans="1:81" x14ac:dyDescent="0.2">
      <c r="G47" s="910"/>
      <c r="I47" s="911"/>
      <c r="J47" s="911"/>
      <c r="L47" s="911"/>
      <c r="M47" s="911"/>
      <c r="O47" s="911"/>
      <c r="P47" s="911"/>
      <c r="R47" s="911"/>
      <c r="S47" s="911"/>
      <c r="U47" s="911"/>
      <c r="V47" s="911"/>
      <c r="X47" s="911"/>
      <c r="Y47" s="911"/>
      <c r="AA47" s="911"/>
      <c r="AB47" s="911"/>
      <c r="AD47" s="911"/>
      <c r="AE47" s="911"/>
      <c r="AG47" s="911"/>
      <c r="AH47" s="911"/>
      <c r="AJ47" s="911"/>
      <c r="AK47" s="911"/>
      <c r="AM47" s="911"/>
      <c r="AN47" s="911"/>
      <c r="AP47" s="911"/>
      <c r="AQ47" s="911"/>
      <c r="AS47" s="911"/>
      <c r="AT47" s="911"/>
      <c r="AV47" s="911"/>
      <c r="AW47" s="911"/>
      <c r="AY47" s="911"/>
      <c r="AZ47" s="911"/>
      <c r="BB47" s="911"/>
      <c r="BC47" s="911"/>
      <c r="BE47" s="911"/>
      <c r="BF47" s="911"/>
      <c r="BH47" s="911"/>
      <c r="BI47" s="911"/>
      <c r="BK47" s="911"/>
      <c r="BL47" s="911"/>
      <c r="BN47" s="911"/>
      <c r="BO47" s="911"/>
      <c r="BQ47" s="911"/>
      <c r="BR47" s="911"/>
      <c r="BT47" s="911"/>
      <c r="BU47" s="911"/>
      <c r="BW47" s="911"/>
      <c r="BX47" s="911"/>
      <c r="BZ47" s="911"/>
      <c r="CA47" s="911"/>
    </row>
    <row r="48" spans="1:81" x14ac:dyDescent="0.2">
      <c r="I48" s="911"/>
      <c r="J48" s="911"/>
      <c r="L48" s="911"/>
      <c r="M48" s="911"/>
      <c r="O48" s="911"/>
      <c r="P48" s="911"/>
      <c r="R48" s="911"/>
      <c r="S48" s="911"/>
      <c r="U48" s="911"/>
      <c r="V48" s="911"/>
      <c r="X48" s="911"/>
      <c r="Y48" s="911"/>
      <c r="AA48" s="911"/>
      <c r="AB48" s="911"/>
      <c r="AD48" s="911"/>
      <c r="AE48" s="911"/>
      <c r="AG48" s="911"/>
      <c r="AH48" s="911"/>
      <c r="AJ48" s="911"/>
      <c r="AK48" s="911"/>
      <c r="AM48" s="911"/>
      <c r="AN48" s="911"/>
      <c r="AP48" s="911"/>
      <c r="AQ48" s="911"/>
      <c r="AS48" s="911"/>
      <c r="AT48" s="911"/>
      <c r="AV48" s="911"/>
      <c r="AW48" s="911"/>
      <c r="AY48" s="911"/>
      <c r="AZ48" s="911"/>
      <c r="BB48" s="911"/>
      <c r="BC48" s="911"/>
      <c r="BE48" s="911"/>
      <c r="BF48" s="911"/>
      <c r="BH48" s="911"/>
      <c r="BI48" s="911"/>
      <c r="BK48" s="911"/>
      <c r="BL48" s="911"/>
      <c r="BN48" s="911"/>
      <c r="BO48" s="911"/>
      <c r="BQ48" s="911"/>
      <c r="BR48" s="911"/>
      <c r="BT48" s="911"/>
      <c r="BU48" s="911"/>
      <c r="BW48" s="911"/>
      <c r="BX48" s="911"/>
      <c r="BZ48" s="911"/>
      <c r="CA48" s="911"/>
    </row>
    <row r="49" spans="3:79" x14ac:dyDescent="0.2">
      <c r="G49" s="910"/>
      <c r="I49" s="912"/>
      <c r="L49" s="912"/>
      <c r="O49" s="912"/>
      <c r="R49" s="912"/>
      <c r="U49" s="912"/>
      <c r="X49" s="912"/>
      <c r="AA49" s="912"/>
      <c r="AD49" s="912"/>
      <c r="AG49" s="912"/>
      <c r="AJ49" s="912"/>
      <c r="AM49" s="912"/>
      <c r="AP49" s="912"/>
      <c r="AS49" s="912"/>
      <c r="AV49" s="912"/>
      <c r="AY49" s="912"/>
      <c r="BB49" s="912"/>
      <c r="BE49" s="912"/>
      <c r="BH49" s="912"/>
      <c r="BK49" s="912"/>
      <c r="BN49" s="912"/>
      <c r="BQ49" s="912"/>
      <c r="BT49" s="912"/>
      <c r="BW49" s="912"/>
      <c r="BZ49" s="912"/>
    </row>
    <row r="50" spans="3:79" x14ac:dyDescent="0.2">
      <c r="G50" s="910"/>
      <c r="I50" s="911"/>
      <c r="L50" s="911"/>
      <c r="O50" s="911"/>
      <c r="R50" s="911"/>
      <c r="U50" s="911"/>
      <c r="X50" s="911"/>
      <c r="AA50" s="911"/>
      <c r="AD50" s="911"/>
      <c r="AG50" s="911"/>
      <c r="AJ50" s="911"/>
      <c r="AM50" s="911"/>
      <c r="AP50" s="911"/>
      <c r="AS50" s="911"/>
      <c r="AV50" s="911"/>
      <c r="AY50" s="911"/>
      <c r="BB50" s="911"/>
      <c r="BE50" s="911"/>
      <c r="BH50" s="911"/>
      <c r="BK50" s="911"/>
      <c r="BN50" s="911"/>
      <c r="BQ50" s="911"/>
      <c r="BT50" s="911"/>
      <c r="BW50" s="911"/>
      <c r="BZ50" s="911"/>
    </row>
    <row r="51" spans="3:79" x14ac:dyDescent="0.2">
      <c r="C51" s="913"/>
      <c r="D51" s="913"/>
      <c r="E51" s="913"/>
      <c r="F51" s="913"/>
      <c r="I51" s="912"/>
      <c r="L51" s="912"/>
      <c r="O51" s="912"/>
      <c r="R51" s="912"/>
      <c r="U51" s="912"/>
      <c r="X51" s="912"/>
      <c r="AA51" s="912"/>
      <c r="AD51" s="912"/>
      <c r="AG51" s="912"/>
      <c r="AJ51" s="912"/>
      <c r="AM51" s="912"/>
      <c r="AP51" s="912"/>
      <c r="AS51" s="912"/>
      <c r="AV51" s="912"/>
      <c r="AY51" s="912"/>
      <c r="BB51" s="912"/>
      <c r="BE51" s="912"/>
      <c r="BH51" s="912"/>
      <c r="BK51" s="912"/>
      <c r="BN51" s="912"/>
      <c r="BQ51" s="912"/>
      <c r="BT51" s="912"/>
      <c r="BW51" s="912"/>
      <c r="BZ51" s="912"/>
    </row>
    <row r="52" spans="3:79" x14ac:dyDescent="0.2">
      <c r="C52" s="913"/>
      <c r="D52" s="913"/>
      <c r="E52" s="913"/>
      <c r="F52" s="913"/>
      <c r="I52" s="912"/>
      <c r="L52" s="912"/>
      <c r="O52" s="912"/>
      <c r="R52" s="912"/>
      <c r="U52" s="912"/>
      <c r="X52" s="912"/>
      <c r="AA52" s="912"/>
      <c r="AD52" s="912"/>
      <c r="AG52" s="912"/>
      <c r="AJ52" s="912"/>
      <c r="AM52" s="912"/>
      <c r="AP52" s="912"/>
      <c r="AS52" s="912"/>
      <c r="AV52" s="912"/>
      <c r="AY52" s="912"/>
      <c r="BB52" s="912"/>
      <c r="BE52" s="912"/>
      <c r="BH52" s="912"/>
      <c r="BK52" s="912"/>
      <c r="BN52" s="912"/>
      <c r="BQ52" s="912"/>
      <c r="BT52" s="912"/>
      <c r="BW52" s="912"/>
      <c r="BZ52" s="912"/>
    </row>
    <row r="53" spans="3:79" x14ac:dyDescent="0.2">
      <c r="C53" s="913"/>
      <c r="D53" s="913"/>
      <c r="E53" s="913"/>
      <c r="F53" s="913"/>
      <c r="I53" s="912"/>
      <c r="L53" s="912"/>
      <c r="O53" s="912"/>
      <c r="R53" s="912"/>
      <c r="U53" s="912"/>
      <c r="X53" s="912"/>
      <c r="AA53" s="912"/>
      <c r="AD53" s="912"/>
      <c r="AG53" s="912"/>
      <c r="AJ53" s="912"/>
      <c r="AM53" s="912"/>
      <c r="AP53" s="912"/>
      <c r="AS53" s="912"/>
      <c r="AV53" s="912"/>
      <c r="AY53" s="912"/>
      <c r="BB53" s="912"/>
      <c r="BE53" s="912"/>
      <c r="BH53" s="912"/>
      <c r="BK53" s="912"/>
      <c r="BN53" s="912"/>
      <c r="BQ53" s="912"/>
      <c r="BT53" s="912"/>
      <c r="BW53" s="912"/>
      <c r="BZ53" s="912"/>
    </row>
    <row r="54" spans="3:79" x14ac:dyDescent="0.2">
      <c r="I54" s="912"/>
      <c r="L54" s="912"/>
      <c r="O54" s="912"/>
      <c r="R54" s="912"/>
      <c r="U54" s="912"/>
      <c r="X54" s="912"/>
      <c r="AA54" s="912"/>
      <c r="AD54" s="912"/>
      <c r="AG54" s="912"/>
      <c r="AJ54" s="912"/>
      <c r="AM54" s="912"/>
      <c r="AP54" s="912"/>
      <c r="AS54" s="912"/>
      <c r="AV54" s="912"/>
      <c r="AY54" s="912"/>
      <c r="BB54" s="912"/>
      <c r="BE54" s="912"/>
      <c r="BH54" s="912"/>
      <c r="BK54" s="912"/>
      <c r="BN54" s="912"/>
      <c r="BQ54" s="912"/>
      <c r="BT54" s="912"/>
      <c r="BW54" s="912"/>
      <c r="BZ54" s="912"/>
    </row>
    <row r="55" spans="3:79" x14ac:dyDescent="0.2">
      <c r="I55" s="912"/>
      <c r="L55" s="912"/>
      <c r="O55" s="912"/>
      <c r="R55" s="912"/>
      <c r="U55" s="912"/>
      <c r="X55" s="912"/>
      <c r="AA55" s="912"/>
      <c r="AD55" s="912"/>
      <c r="AG55" s="912"/>
      <c r="AJ55" s="912"/>
      <c r="AM55" s="912"/>
      <c r="AP55" s="912"/>
      <c r="AS55" s="912"/>
      <c r="AV55" s="912"/>
      <c r="AY55" s="912"/>
      <c r="BB55" s="912"/>
      <c r="BE55" s="912"/>
      <c r="BH55" s="912"/>
      <c r="BK55" s="912"/>
      <c r="BN55" s="912"/>
      <c r="BQ55" s="912"/>
      <c r="BT55" s="912"/>
      <c r="BW55" s="912"/>
      <c r="BZ55" s="912"/>
    </row>
    <row r="56" spans="3:79" x14ac:dyDescent="0.2">
      <c r="I56" s="911"/>
      <c r="L56" s="911"/>
      <c r="O56" s="911"/>
      <c r="R56" s="911"/>
      <c r="U56" s="911"/>
      <c r="X56" s="911"/>
      <c r="AA56" s="911"/>
      <c r="AD56" s="911"/>
      <c r="AG56" s="911"/>
      <c r="AJ56" s="911"/>
      <c r="AM56" s="911"/>
      <c r="AP56" s="911"/>
      <c r="AS56" s="911"/>
      <c r="AV56" s="911"/>
      <c r="AY56" s="911"/>
      <c r="BB56" s="911"/>
      <c r="BE56" s="911"/>
      <c r="BH56" s="911"/>
      <c r="BK56" s="911"/>
      <c r="BN56" s="911"/>
      <c r="BQ56" s="911"/>
      <c r="BT56" s="911"/>
      <c r="BW56" s="911"/>
      <c r="BZ56" s="911"/>
    </row>
    <row r="57" spans="3:79" x14ac:dyDescent="0.2">
      <c r="I57" s="911"/>
      <c r="L57" s="911"/>
      <c r="O57" s="911"/>
      <c r="R57" s="911"/>
      <c r="U57" s="911"/>
      <c r="X57" s="911"/>
      <c r="AA57" s="911"/>
      <c r="AD57" s="911"/>
      <c r="AG57" s="911"/>
      <c r="AJ57" s="911"/>
      <c r="AM57" s="911"/>
      <c r="AP57" s="911"/>
      <c r="AS57" s="911"/>
      <c r="AV57" s="911"/>
      <c r="AY57" s="911"/>
      <c r="BB57" s="911"/>
      <c r="BE57" s="911"/>
      <c r="BH57" s="911"/>
      <c r="BK57" s="911"/>
      <c r="BN57" s="911"/>
      <c r="BQ57" s="911"/>
      <c r="BT57" s="911"/>
      <c r="BW57" s="911"/>
      <c r="BZ57" s="911"/>
    </row>
    <row r="58" spans="3:79" x14ac:dyDescent="0.2">
      <c r="I58" s="911"/>
      <c r="L58" s="911"/>
      <c r="O58" s="911"/>
      <c r="R58" s="911"/>
      <c r="U58" s="911"/>
      <c r="X58" s="911"/>
      <c r="AA58" s="911"/>
      <c r="AD58" s="911"/>
      <c r="AG58" s="911"/>
      <c r="AJ58" s="911"/>
      <c r="AM58" s="911"/>
      <c r="AP58" s="911"/>
      <c r="AS58" s="911"/>
      <c r="AV58" s="911"/>
      <c r="AY58" s="911"/>
      <c r="BB58" s="911"/>
      <c r="BE58" s="911"/>
      <c r="BH58" s="911"/>
      <c r="BK58" s="911"/>
      <c r="BN58" s="911"/>
      <c r="BQ58" s="911"/>
      <c r="BT58" s="911"/>
      <c r="BW58" s="911"/>
      <c r="BZ58" s="911"/>
    </row>
    <row r="59" spans="3:79" x14ac:dyDescent="0.2">
      <c r="I59" s="911"/>
      <c r="L59" s="911"/>
      <c r="O59" s="911"/>
      <c r="R59" s="911"/>
      <c r="U59" s="911"/>
      <c r="X59" s="911"/>
      <c r="AA59" s="911"/>
      <c r="AD59" s="911"/>
      <c r="AG59" s="911"/>
      <c r="AJ59" s="911"/>
      <c r="AM59" s="911"/>
      <c r="AP59" s="911"/>
      <c r="AS59" s="911"/>
      <c r="AV59" s="911"/>
      <c r="AY59" s="911"/>
      <c r="BB59" s="911"/>
      <c r="BE59" s="911"/>
      <c r="BH59" s="911"/>
      <c r="BK59" s="911"/>
      <c r="BN59" s="911"/>
      <c r="BQ59" s="911"/>
      <c r="BT59" s="911"/>
      <c r="BW59" s="911"/>
      <c r="BZ59" s="911"/>
    </row>
    <row r="60" spans="3:79" x14ac:dyDescent="0.2">
      <c r="I60" s="911"/>
      <c r="L60" s="911"/>
      <c r="O60" s="911"/>
      <c r="R60" s="911"/>
      <c r="U60" s="911"/>
      <c r="X60" s="911"/>
      <c r="AA60" s="911"/>
      <c r="AD60" s="911"/>
      <c r="AG60" s="911"/>
      <c r="AJ60" s="911"/>
      <c r="AM60" s="911"/>
      <c r="AP60" s="911"/>
      <c r="AS60" s="911"/>
      <c r="AV60" s="911"/>
      <c r="AY60" s="911"/>
      <c r="BB60" s="911"/>
      <c r="BE60" s="911"/>
      <c r="BH60" s="911"/>
      <c r="BK60" s="911"/>
      <c r="BN60" s="911"/>
      <c r="BQ60" s="911"/>
      <c r="BT60" s="911"/>
      <c r="BW60" s="911"/>
      <c r="BZ60" s="911"/>
    </row>
    <row r="61" spans="3:79" x14ac:dyDescent="0.2">
      <c r="H61" s="911"/>
      <c r="I61" s="911"/>
      <c r="J61" s="911"/>
      <c r="K61" s="911"/>
      <c r="L61" s="911"/>
      <c r="M61" s="911"/>
      <c r="N61" s="911"/>
      <c r="O61" s="911"/>
      <c r="P61" s="911"/>
      <c r="Q61" s="911"/>
      <c r="R61" s="911"/>
      <c r="S61" s="911"/>
      <c r="T61" s="911"/>
      <c r="U61" s="911"/>
      <c r="V61" s="911"/>
      <c r="W61" s="911"/>
      <c r="X61" s="911"/>
      <c r="Y61" s="911"/>
      <c r="Z61" s="911"/>
      <c r="AA61" s="911"/>
      <c r="AB61" s="911"/>
      <c r="AC61" s="911"/>
      <c r="AD61" s="911"/>
      <c r="AE61" s="911"/>
      <c r="AF61" s="911"/>
      <c r="AG61" s="911"/>
      <c r="AH61" s="911"/>
      <c r="AI61" s="911"/>
      <c r="AJ61" s="911"/>
      <c r="AK61" s="911"/>
      <c r="AL61" s="911"/>
      <c r="AM61" s="911"/>
      <c r="AN61" s="911"/>
      <c r="AO61" s="911"/>
      <c r="AP61" s="911"/>
      <c r="AQ61" s="911"/>
      <c r="AR61" s="911"/>
      <c r="AS61" s="911"/>
      <c r="AT61" s="911"/>
      <c r="AU61" s="911"/>
      <c r="AV61" s="911"/>
      <c r="AW61" s="911"/>
      <c r="AX61" s="911"/>
      <c r="AY61" s="911"/>
      <c r="AZ61" s="911"/>
      <c r="BA61" s="911"/>
      <c r="BB61" s="911"/>
      <c r="BC61" s="911"/>
      <c r="BD61" s="911"/>
      <c r="BE61" s="911"/>
      <c r="BF61" s="911"/>
      <c r="BG61" s="911"/>
      <c r="BH61" s="911"/>
      <c r="BI61" s="911"/>
      <c r="BJ61" s="911"/>
      <c r="BK61" s="911"/>
      <c r="BL61" s="911"/>
      <c r="BM61" s="911"/>
      <c r="BN61" s="911"/>
      <c r="BO61" s="911"/>
      <c r="BP61" s="911"/>
      <c r="BQ61" s="911"/>
      <c r="BR61" s="911"/>
      <c r="BS61" s="911"/>
      <c r="BT61" s="911"/>
      <c r="BU61" s="911"/>
      <c r="BV61" s="911"/>
      <c r="BW61" s="911"/>
      <c r="BX61" s="911"/>
      <c r="BY61" s="911"/>
      <c r="BZ61" s="911"/>
      <c r="CA61" s="911"/>
    </row>
    <row r="62" spans="3:79" x14ac:dyDescent="0.2">
      <c r="H62" s="911"/>
      <c r="I62" s="911"/>
      <c r="J62" s="911"/>
      <c r="K62" s="911"/>
      <c r="L62" s="911"/>
      <c r="M62" s="911"/>
      <c r="N62" s="911"/>
      <c r="O62" s="911"/>
      <c r="P62" s="911"/>
      <c r="Q62" s="911"/>
      <c r="R62" s="911"/>
      <c r="S62" s="911"/>
      <c r="T62" s="911"/>
      <c r="U62" s="911"/>
      <c r="V62" s="911"/>
      <c r="W62" s="911"/>
      <c r="X62" s="911"/>
      <c r="Y62" s="911"/>
      <c r="Z62" s="911"/>
      <c r="AA62" s="911"/>
      <c r="AB62" s="911"/>
      <c r="AC62" s="911"/>
      <c r="AD62" s="911"/>
      <c r="AE62" s="911"/>
      <c r="AF62" s="911"/>
      <c r="AG62" s="911"/>
      <c r="AH62" s="911"/>
      <c r="AI62" s="911"/>
      <c r="AJ62" s="911"/>
      <c r="AK62" s="911"/>
      <c r="AL62" s="911"/>
      <c r="AM62" s="911"/>
      <c r="AN62" s="911"/>
      <c r="AO62" s="911"/>
      <c r="AP62" s="911"/>
      <c r="AQ62" s="911"/>
      <c r="AR62" s="911"/>
      <c r="AS62" s="911"/>
      <c r="AT62" s="911"/>
      <c r="AU62" s="911"/>
      <c r="AV62" s="911"/>
      <c r="AW62" s="911"/>
      <c r="AX62" s="911"/>
      <c r="AY62" s="911"/>
      <c r="AZ62" s="911"/>
      <c r="BA62" s="911"/>
      <c r="BB62" s="911"/>
      <c r="BC62" s="911"/>
      <c r="BD62" s="911"/>
      <c r="BE62" s="911"/>
      <c r="BF62" s="911"/>
      <c r="BG62" s="911"/>
      <c r="BH62" s="911"/>
      <c r="BI62" s="911"/>
      <c r="BJ62" s="911"/>
      <c r="BK62" s="911"/>
      <c r="BL62" s="911"/>
      <c r="BM62" s="911"/>
      <c r="BN62" s="911"/>
      <c r="BO62" s="911"/>
      <c r="BP62" s="911"/>
      <c r="BQ62" s="911"/>
      <c r="BR62" s="911"/>
      <c r="BS62" s="911"/>
      <c r="BT62" s="911"/>
      <c r="BU62" s="911"/>
      <c r="BV62" s="911"/>
      <c r="BW62" s="911"/>
      <c r="BX62" s="911"/>
      <c r="BY62" s="911"/>
      <c r="BZ62" s="911"/>
      <c r="CA62" s="911"/>
    </row>
    <row r="63" spans="3:79" x14ac:dyDescent="0.2">
      <c r="H63" s="911"/>
      <c r="I63" s="911"/>
      <c r="J63" s="911"/>
      <c r="K63" s="911"/>
      <c r="L63" s="911"/>
      <c r="M63" s="911"/>
      <c r="N63" s="911"/>
      <c r="O63" s="911"/>
      <c r="P63" s="911"/>
      <c r="Q63" s="911"/>
      <c r="R63" s="911"/>
      <c r="S63" s="911"/>
      <c r="T63" s="911"/>
      <c r="U63" s="911"/>
      <c r="V63" s="911"/>
      <c r="W63" s="911"/>
      <c r="X63" s="911"/>
      <c r="Y63" s="911"/>
      <c r="Z63" s="911"/>
      <c r="AA63" s="911"/>
      <c r="AB63" s="911"/>
      <c r="AC63" s="911"/>
      <c r="AD63" s="911"/>
      <c r="AE63" s="911"/>
      <c r="AF63" s="911"/>
      <c r="AG63" s="911"/>
      <c r="AH63" s="911"/>
      <c r="AI63" s="911"/>
      <c r="AJ63" s="911"/>
      <c r="AK63" s="911"/>
      <c r="AL63" s="911"/>
      <c r="AM63" s="911"/>
      <c r="AN63" s="911"/>
      <c r="AO63" s="911"/>
      <c r="AP63" s="911"/>
      <c r="AQ63" s="911"/>
      <c r="AR63" s="911"/>
      <c r="AS63" s="911"/>
      <c r="AT63" s="911"/>
      <c r="AU63" s="911"/>
      <c r="AV63" s="911"/>
      <c r="AW63" s="911"/>
      <c r="AX63" s="911"/>
      <c r="AY63" s="911"/>
      <c r="AZ63" s="911"/>
      <c r="BA63" s="911"/>
      <c r="BB63" s="911"/>
      <c r="BC63" s="911"/>
      <c r="BD63" s="911"/>
      <c r="BE63" s="911"/>
      <c r="BF63" s="911"/>
      <c r="BG63" s="911"/>
      <c r="BH63" s="911"/>
      <c r="BI63" s="911"/>
      <c r="BJ63" s="911"/>
      <c r="BK63" s="911"/>
      <c r="BL63" s="911"/>
      <c r="BM63" s="911"/>
      <c r="BN63" s="911"/>
      <c r="BO63" s="911"/>
      <c r="BP63" s="911"/>
      <c r="BQ63" s="911"/>
      <c r="BR63" s="911"/>
      <c r="BS63" s="911"/>
      <c r="BT63" s="911"/>
      <c r="BU63" s="911"/>
      <c r="BV63" s="911"/>
      <c r="BW63" s="911"/>
      <c r="BX63" s="911"/>
      <c r="BY63" s="911"/>
      <c r="BZ63" s="911"/>
      <c r="CA63" s="911"/>
    </row>
    <row r="64" spans="3:79" x14ac:dyDescent="0.2">
      <c r="H64" s="911"/>
      <c r="I64" s="911"/>
      <c r="J64" s="911"/>
      <c r="K64" s="911"/>
      <c r="L64" s="911"/>
      <c r="M64" s="911"/>
      <c r="N64" s="911"/>
      <c r="O64" s="911"/>
      <c r="P64" s="911"/>
      <c r="Q64" s="911"/>
      <c r="R64" s="911"/>
      <c r="S64" s="911"/>
      <c r="T64" s="911"/>
      <c r="U64" s="911"/>
      <c r="V64" s="911"/>
      <c r="W64" s="911"/>
      <c r="X64" s="911"/>
      <c r="Y64" s="911"/>
      <c r="Z64" s="911"/>
      <c r="AA64" s="911"/>
      <c r="AB64" s="911"/>
      <c r="AC64" s="911"/>
      <c r="AD64" s="911"/>
      <c r="AE64" s="911"/>
      <c r="AF64" s="911"/>
      <c r="AG64" s="911"/>
      <c r="AH64" s="911"/>
      <c r="AI64" s="911"/>
      <c r="AJ64" s="911"/>
      <c r="AK64" s="911"/>
      <c r="AL64" s="911"/>
      <c r="AM64" s="911"/>
      <c r="AN64" s="911"/>
      <c r="AO64" s="911"/>
      <c r="AP64" s="911"/>
      <c r="AQ64" s="911"/>
      <c r="AR64" s="911"/>
      <c r="AS64" s="911"/>
      <c r="AT64" s="911"/>
      <c r="AU64" s="911"/>
      <c r="AV64" s="911"/>
      <c r="AW64" s="911"/>
      <c r="AX64" s="911"/>
      <c r="AY64" s="911"/>
      <c r="AZ64" s="911"/>
      <c r="BA64" s="911"/>
      <c r="BB64" s="911"/>
      <c r="BC64" s="911"/>
      <c r="BD64" s="911"/>
      <c r="BE64" s="911"/>
      <c r="BF64" s="911"/>
      <c r="BG64" s="911"/>
      <c r="BH64" s="911"/>
      <c r="BI64" s="911"/>
      <c r="BJ64" s="911"/>
      <c r="BK64" s="911"/>
      <c r="BL64" s="911"/>
      <c r="BM64" s="911"/>
      <c r="BN64" s="911"/>
      <c r="BO64" s="911"/>
      <c r="BP64" s="911"/>
      <c r="BQ64" s="911"/>
      <c r="BR64" s="911"/>
      <c r="BS64" s="911"/>
      <c r="BT64" s="911"/>
      <c r="BU64" s="911"/>
      <c r="BV64" s="911"/>
      <c r="BW64" s="911"/>
      <c r="BX64" s="911"/>
      <c r="BY64" s="911"/>
      <c r="BZ64" s="911"/>
      <c r="CA64" s="911"/>
    </row>
    <row r="65" spans="8:79" x14ac:dyDescent="0.2">
      <c r="H65" s="911"/>
      <c r="I65" s="911"/>
      <c r="J65" s="911"/>
      <c r="K65" s="911"/>
      <c r="L65" s="911"/>
      <c r="M65" s="911"/>
      <c r="N65" s="911"/>
      <c r="O65" s="911"/>
      <c r="P65" s="911"/>
      <c r="Q65" s="911"/>
      <c r="R65" s="911"/>
      <c r="S65" s="911"/>
      <c r="T65" s="911"/>
      <c r="U65" s="911"/>
      <c r="V65" s="911"/>
      <c r="W65" s="911"/>
      <c r="X65" s="911"/>
      <c r="Y65" s="911"/>
      <c r="Z65" s="911"/>
      <c r="AA65" s="911"/>
      <c r="AB65" s="911"/>
      <c r="AC65" s="911"/>
      <c r="AD65" s="911"/>
      <c r="AE65" s="911"/>
      <c r="AF65" s="911"/>
      <c r="AG65" s="911"/>
      <c r="AH65" s="911"/>
      <c r="AI65" s="911"/>
      <c r="AJ65" s="911"/>
      <c r="AK65" s="911"/>
      <c r="AL65" s="911"/>
      <c r="AM65" s="911"/>
      <c r="AN65" s="911"/>
      <c r="AO65" s="911"/>
      <c r="AP65" s="911"/>
      <c r="AQ65" s="911"/>
      <c r="AR65" s="911"/>
      <c r="AS65" s="911"/>
      <c r="AT65" s="911"/>
      <c r="AU65" s="911"/>
      <c r="AV65" s="911"/>
      <c r="AW65" s="911"/>
      <c r="AX65" s="911"/>
      <c r="AY65" s="911"/>
      <c r="AZ65" s="911"/>
      <c r="BA65" s="911"/>
      <c r="BB65" s="911"/>
      <c r="BC65" s="911"/>
      <c r="BD65" s="911"/>
      <c r="BE65" s="911"/>
      <c r="BF65" s="911"/>
      <c r="BG65" s="911"/>
      <c r="BH65" s="911"/>
      <c r="BI65" s="911"/>
      <c r="BJ65" s="911"/>
      <c r="BK65" s="911"/>
      <c r="BL65" s="911"/>
      <c r="BM65" s="911"/>
      <c r="BN65" s="911"/>
      <c r="BO65" s="911"/>
      <c r="BP65" s="911"/>
      <c r="BQ65" s="911"/>
      <c r="BR65" s="911"/>
      <c r="BS65" s="911"/>
      <c r="BT65" s="911"/>
      <c r="BU65" s="911"/>
      <c r="BV65" s="911"/>
      <c r="BW65" s="911"/>
      <c r="BX65" s="911"/>
      <c r="BY65" s="911"/>
      <c r="BZ65" s="911"/>
      <c r="CA65" s="911"/>
    </row>
    <row r="66" spans="8:79" x14ac:dyDescent="0.2">
      <c r="H66" s="911"/>
      <c r="I66" s="911"/>
      <c r="J66" s="911"/>
      <c r="K66" s="911"/>
      <c r="L66" s="911"/>
      <c r="M66" s="911"/>
      <c r="N66" s="911"/>
      <c r="O66" s="911"/>
      <c r="P66" s="911"/>
      <c r="Q66" s="911"/>
      <c r="R66" s="911"/>
      <c r="S66" s="911"/>
      <c r="T66" s="911"/>
      <c r="U66" s="911"/>
      <c r="V66" s="911"/>
      <c r="W66" s="911"/>
      <c r="X66" s="911"/>
      <c r="Y66" s="911"/>
      <c r="Z66" s="911"/>
      <c r="AA66" s="911"/>
      <c r="AB66" s="911"/>
      <c r="AC66" s="911"/>
      <c r="AD66" s="911"/>
      <c r="AE66" s="911"/>
      <c r="AF66" s="911"/>
      <c r="AG66" s="911"/>
      <c r="AH66" s="911"/>
      <c r="AI66" s="911"/>
      <c r="AJ66" s="911"/>
      <c r="AK66" s="911"/>
      <c r="AL66" s="911"/>
      <c r="AM66" s="911"/>
      <c r="AN66" s="911"/>
      <c r="AO66" s="911"/>
      <c r="AP66" s="911"/>
      <c r="AQ66" s="911"/>
      <c r="AR66" s="911"/>
      <c r="AS66" s="911"/>
      <c r="AT66" s="911"/>
      <c r="AU66" s="911"/>
      <c r="AV66" s="911"/>
      <c r="AW66" s="911"/>
      <c r="AX66" s="911"/>
      <c r="AY66" s="911"/>
      <c r="AZ66" s="911"/>
      <c r="BA66" s="911"/>
      <c r="BB66" s="911"/>
      <c r="BC66" s="911"/>
      <c r="BD66" s="911"/>
      <c r="BE66" s="911"/>
      <c r="BF66" s="911"/>
      <c r="BG66" s="911"/>
      <c r="BH66" s="911"/>
      <c r="BI66" s="911"/>
      <c r="BJ66" s="911"/>
      <c r="BK66" s="911"/>
      <c r="BL66" s="911"/>
      <c r="BM66" s="911"/>
      <c r="BN66" s="911"/>
      <c r="BO66" s="911"/>
      <c r="BP66" s="911"/>
      <c r="BQ66" s="911"/>
      <c r="BR66" s="911"/>
      <c r="BS66" s="911"/>
      <c r="BT66" s="911"/>
      <c r="BU66" s="911"/>
      <c r="BV66" s="911"/>
      <c r="BW66" s="911"/>
      <c r="BX66" s="911"/>
      <c r="BY66" s="911"/>
      <c r="BZ66" s="911"/>
      <c r="CA66" s="911"/>
    </row>
    <row r="67" spans="8:79" x14ac:dyDescent="0.2">
      <c r="H67" s="911"/>
      <c r="I67" s="911"/>
      <c r="J67" s="911"/>
      <c r="K67" s="911"/>
      <c r="L67" s="911"/>
      <c r="M67" s="911"/>
      <c r="N67" s="911"/>
      <c r="O67" s="911"/>
      <c r="P67" s="911"/>
      <c r="Q67" s="911"/>
      <c r="R67" s="911"/>
      <c r="S67" s="911"/>
      <c r="T67" s="911"/>
      <c r="U67" s="911"/>
      <c r="V67" s="911"/>
      <c r="W67" s="911"/>
      <c r="X67" s="911"/>
      <c r="Y67" s="911"/>
      <c r="Z67" s="911"/>
      <c r="AA67" s="911"/>
      <c r="AB67" s="911"/>
      <c r="AC67" s="911"/>
      <c r="AD67" s="911"/>
      <c r="AE67" s="911"/>
      <c r="AF67" s="911"/>
      <c r="AG67" s="911"/>
      <c r="AH67" s="911"/>
      <c r="AI67" s="911"/>
      <c r="AJ67" s="911"/>
      <c r="AK67" s="911"/>
      <c r="AL67" s="911"/>
      <c r="AM67" s="911"/>
      <c r="AN67" s="911"/>
      <c r="AO67" s="911"/>
      <c r="AP67" s="911"/>
      <c r="AQ67" s="911"/>
      <c r="AR67" s="911"/>
      <c r="AS67" s="911"/>
      <c r="AT67" s="911"/>
      <c r="AU67" s="911"/>
      <c r="AV67" s="911"/>
      <c r="AW67" s="911"/>
      <c r="AX67" s="911"/>
      <c r="AY67" s="911"/>
      <c r="AZ67" s="911"/>
      <c r="BA67" s="911"/>
      <c r="BB67" s="911"/>
      <c r="BC67" s="911"/>
      <c r="BD67" s="911"/>
      <c r="BE67" s="911"/>
      <c r="BF67" s="911"/>
      <c r="BG67" s="911"/>
      <c r="BH67" s="911"/>
      <c r="BI67" s="911"/>
      <c r="BJ67" s="911"/>
      <c r="BK67" s="911"/>
      <c r="BL67" s="911"/>
      <c r="BM67" s="911"/>
      <c r="BN67" s="911"/>
      <c r="BO67" s="911"/>
      <c r="BP67" s="911"/>
      <c r="BQ67" s="911"/>
      <c r="BR67" s="911"/>
      <c r="BS67" s="911"/>
      <c r="BT67" s="911"/>
      <c r="BU67" s="911"/>
      <c r="BV67" s="911"/>
      <c r="BW67" s="911"/>
      <c r="BX67" s="911"/>
      <c r="BY67" s="911"/>
      <c r="BZ67" s="911"/>
      <c r="CA67" s="911"/>
    </row>
    <row r="68" spans="8:79" x14ac:dyDescent="0.2">
      <c r="H68" s="911"/>
      <c r="I68" s="911"/>
      <c r="J68" s="911"/>
      <c r="K68" s="911"/>
      <c r="L68" s="911"/>
      <c r="M68" s="911"/>
      <c r="N68" s="911"/>
      <c r="O68" s="911"/>
      <c r="P68" s="911"/>
      <c r="Q68" s="911"/>
      <c r="R68" s="911"/>
      <c r="S68" s="911"/>
      <c r="T68" s="911"/>
      <c r="U68" s="911"/>
      <c r="V68" s="911"/>
      <c r="W68" s="911"/>
      <c r="X68" s="911"/>
      <c r="Y68" s="911"/>
      <c r="Z68" s="911"/>
      <c r="AA68" s="911"/>
      <c r="AB68" s="911"/>
      <c r="AC68" s="911"/>
      <c r="AD68" s="911"/>
      <c r="AE68" s="911"/>
      <c r="AF68" s="911"/>
      <c r="AG68" s="911"/>
      <c r="AH68" s="911"/>
      <c r="AI68" s="911"/>
      <c r="AJ68" s="911"/>
      <c r="AK68" s="911"/>
      <c r="AL68" s="911"/>
      <c r="AM68" s="911"/>
      <c r="AN68" s="911"/>
      <c r="AO68" s="911"/>
      <c r="AP68" s="911"/>
      <c r="AQ68" s="911"/>
      <c r="AR68" s="911"/>
      <c r="AS68" s="911"/>
      <c r="AT68" s="911"/>
      <c r="AU68" s="911"/>
      <c r="AV68" s="911"/>
      <c r="AW68" s="911"/>
      <c r="AX68" s="911"/>
      <c r="AY68" s="911"/>
      <c r="AZ68" s="911"/>
      <c r="BA68" s="911"/>
      <c r="BB68" s="911"/>
      <c r="BC68" s="911"/>
      <c r="BD68" s="911"/>
      <c r="BE68" s="911"/>
      <c r="BF68" s="911"/>
      <c r="BG68" s="911"/>
      <c r="BH68" s="911"/>
      <c r="BI68" s="911"/>
      <c r="BJ68" s="911"/>
      <c r="BK68" s="911"/>
      <c r="BL68" s="911"/>
      <c r="BM68" s="911"/>
      <c r="BN68" s="911"/>
      <c r="BO68" s="911"/>
      <c r="BP68" s="911"/>
      <c r="BQ68" s="911"/>
      <c r="BR68" s="911"/>
      <c r="BS68" s="911"/>
      <c r="BT68" s="911"/>
      <c r="BU68" s="911"/>
      <c r="BV68" s="911"/>
      <c r="BW68" s="911"/>
      <c r="BX68" s="911"/>
      <c r="BY68" s="911"/>
      <c r="BZ68" s="911"/>
      <c r="CA68" s="911"/>
    </row>
    <row r="69" spans="8:79" x14ac:dyDescent="0.2">
      <c r="H69" s="911"/>
      <c r="I69" s="911"/>
      <c r="J69" s="911"/>
      <c r="K69" s="911"/>
      <c r="L69" s="911"/>
      <c r="M69" s="911"/>
      <c r="N69" s="911"/>
      <c r="O69" s="911"/>
      <c r="P69" s="911"/>
      <c r="Q69" s="911"/>
      <c r="R69" s="911"/>
      <c r="S69" s="911"/>
      <c r="T69" s="911"/>
      <c r="U69" s="911"/>
      <c r="V69" s="911"/>
      <c r="W69" s="911"/>
      <c r="X69" s="911"/>
      <c r="Y69" s="911"/>
      <c r="Z69" s="911"/>
      <c r="AA69" s="911"/>
      <c r="AB69" s="911"/>
      <c r="AC69" s="911"/>
      <c r="AD69" s="911"/>
      <c r="AE69" s="911"/>
      <c r="AF69" s="911"/>
      <c r="AG69" s="911"/>
      <c r="AH69" s="911"/>
      <c r="AI69" s="911"/>
      <c r="AJ69" s="911"/>
      <c r="AK69" s="911"/>
      <c r="AL69" s="911"/>
      <c r="AM69" s="911"/>
      <c r="AN69" s="911"/>
      <c r="AO69" s="911"/>
      <c r="AP69" s="911"/>
      <c r="AQ69" s="911"/>
      <c r="AR69" s="911"/>
      <c r="AS69" s="911"/>
      <c r="AT69" s="911"/>
      <c r="AU69" s="911"/>
      <c r="AV69" s="911"/>
      <c r="AW69" s="911"/>
      <c r="AX69" s="911"/>
      <c r="AY69" s="911"/>
      <c r="AZ69" s="911"/>
      <c r="BA69" s="911"/>
      <c r="BB69" s="911"/>
      <c r="BC69" s="911"/>
      <c r="BD69" s="911"/>
      <c r="BE69" s="911"/>
      <c r="BF69" s="911"/>
      <c r="BG69" s="911"/>
      <c r="BH69" s="911"/>
      <c r="BI69" s="911"/>
      <c r="BJ69" s="911"/>
      <c r="BK69" s="911"/>
      <c r="BL69" s="911"/>
      <c r="BM69" s="911"/>
      <c r="BN69" s="911"/>
      <c r="BO69" s="911"/>
      <c r="BP69" s="911"/>
      <c r="BQ69" s="911"/>
      <c r="BR69" s="911"/>
      <c r="BS69" s="911"/>
      <c r="BT69" s="911"/>
      <c r="BU69" s="911"/>
      <c r="BV69" s="911"/>
      <c r="BW69" s="911"/>
      <c r="BX69" s="911"/>
      <c r="BY69" s="911"/>
      <c r="BZ69" s="911"/>
      <c r="CA69" s="911"/>
    </row>
    <row r="70" spans="8:79" x14ac:dyDescent="0.2">
      <c r="H70" s="911"/>
      <c r="I70" s="911"/>
      <c r="J70" s="911"/>
      <c r="K70" s="911"/>
      <c r="L70" s="911"/>
      <c r="M70" s="911"/>
      <c r="N70" s="911"/>
      <c r="O70" s="911"/>
      <c r="P70" s="911"/>
      <c r="Q70" s="911"/>
      <c r="R70" s="911"/>
      <c r="S70" s="911"/>
      <c r="T70" s="911"/>
      <c r="U70" s="911"/>
      <c r="V70" s="911"/>
      <c r="W70" s="911"/>
      <c r="X70" s="911"/>
      <c r="Y70" s="911"/>
      <c r="Z70" s="911"/>
      <c r="AA70" s="911"/>
      <c r="AB70" s="911"/>
      <c r="AC70" s="911"/>
      <c r="AD70" s="911"/>
      <c r="AE70" s="911"/>
      <c r="AF70" s="911"/>
      <c r="AG70" s="911"/>
      <c r="AH70" s="911"/>
      <c r="AI70" s="911"/>
      <c r="AJ70" s="911"/>
      <c r="AK70" s="911"/>
      <c r="AL70" s="911"/>
      <c r="AM70" s="911"/>
      <c r="AN70" s="911"/>
      <c r="AO70" s="911"/>
      <c r="AP70" s="911"/>
      <c r="AQ70" s="911"/>
      <c r="AR70" s="911"/>
      <c r="AS70" s="911"/>
      <c r="AT70" s="911"/>
      <c r="AU70" s="911"/>
      <c r="AV70" s="911"/>
      <c r="AW70" s="911"/>
      <c r="AX70" s="911"/>
      <c r="AY70" s="911"/>
      <c r="AZ70" s="911"/>
      <c r="BA70" s="911"/>
      <c r="BB70" s="911"/>
      <c r="BC70" s="911"/>
      <c r="BD70" s="911"/>
      <c r="BE70" s="911"/>
      <c r="BF70" s="911"/>
      <c r="BG70" s="911"/>
      <c r="BH70" s="911"/>
      <c r="BI70" s="911"/>
      <c r="BJ70" s="911"/>
      <c r="BK70" s="911"/>
      <c r="BL70" s="911"/>
      <c r="BM70" s="911"/>
      <c r="BN70" s="911"/>
      <c r="BO70" s="911"/>
      <c r="BP70" s="911"/>
      <c r="BQ70" s="911"/>
      <c r="BR70" s="911"/>
      <c r="BS70" s="911"/>
      <c r="BT70" s="911"/>
      <c r="BU70" s="911"/>
      <c r="BV70" s="911"/>
      <c r="BW70" s="911"/>
      <c r="BX70" s="911"/>
      <c r="BY70" s="911"/>
      <c r="BZ70" s="911"/>
      <c r="CA70" s="911"/>
    </row>
    <row r="71" spans="8:79" x14ac:dyDescent="0.2">
      <c r="H71" s="911"/>
      <c r="I71" s="911"/>
      <c r="J71" s="911"/>
      <c r="K71" s="911"/>
      <c r="L71" s="911"/>
      <c r="M71" s="911"/>
      <c r="N71" s="911"/>
      <c r="O71" s="911"/>
      <c r="P71" s="911"/>
      <c r="Q71" s="911"/>
      <c r="R71" s="911"/>
      <c r="S71" s="911"/>
      <c r="T71" s="911"/>
      <c r="U71" s="911"/>
      <c r="V71" s="911"/>
      <c r="W71" s="911"/>
      <c r="X71" s="911"/>
      <c r="Y71" s="911"/>
      <c r="Z71" s="911"/>
      <c r="AA71" s="911"/>
      <c r="AB71" s="911"/>
      <c r="AC71" s="911"/>
      <c r="AD71" s="911"/>
      <c r="AE71" s="911"/>
      <c r="AF71" s="911"/>
      <c r="AG71" s="911"/>
      <c r="AH71" s="911"/>
      <c r="AI71" s="911"/>
      <c r="AJ71" s="911"/>
      <c r="AK71" s="911"/>
      <c r="AL71" s="911"/>
      <c r="AM71" s="911"/>
      <c r="AN71" s="911"/>
      <c r="AO71" s="911"/>
      <c r="AP71" s="911"/>
      <c r="AQ71" s="911"/>
      <c r="AR71" s="911"/>
      <c r="AS71" s="911"/>
      <c r="AT71" s="911"/>
      <c r="AU71" s="911"/>
      <c r="AV71" s="911"/>
      <c r="AW71" s="911"/>
      <c r="AX71" s="911"/>
      <c r="AY71" s="911"/>
      <c r="AZ71" s="911"/>
      <c r="BA71" s="911"/>
      <c r="BB71" s="911"/>
      <c r="BC71" s="911"/>
      <c r="BD71" s="911"/>
      <c r="BE71" s="911"/>
      <c r="BF71" s="911"/>
      <c r="BG71" s="911"/>
      <c r="BH71" s="911"/>
      <c r="BI71" s="911"/>
      <c r="BJ71" s="911"/>
      <c r="BK71" s="911"/>
      <c r="BL71" s="911"/>
      <c r="BM71" s="911"/>
      <c r="BN71" s="911"/>
      <c r="BO71" s="911"/>
      <c r="BP71" s="911"/>
      <c r="BQ71" s="911"/>
      <c r="BR71" s="911"/>
      <c r="BS71" s="911"/>
      <c r="BT71" s="911"/>
      <c r="BU71" s="911"/>
      <c r="BV71" s="911"/>
      <c r="BW71" s="911"/>
      <c r="BX71" s="911"/>
      <c r="BY71" s="911"/>
      <c r="BZ71" s="911"/>
      <c r="CA71" s="911"/>
    </row>
    <row r="72" spans="8:79" x14ac:dyDescent="0.2">
      <c r="H72" s="911"/>
      <c r="I72" s="911"/>
      <c r="J72" s="911"/>
      <c r="K72" s="911"/>
      <c r="L72" s="911"/>
      <c r="M72" s="911"/>
      <c r="N72" s="911"/>
      <c r="O72" s="911"/>
      <c r="P72" s="911"/>
      <c r="Q72" s="911"/>
      <c r="R72" s="911"/>
      <c r="S72" s="911"/>
      <c r="T72" s="911"/>
      <c r="U72" s="911"/>
      <c r="V72" s="911"/>
      <c r="W72" s="911"/>
      <c r="X72" s="911"/>
      <c r="Y72" s="911"/>
      <c r="Z72" s="911"/>
      <c r="AA72" s="911"/>
      <c r="AB72" s="911"/>
      <c r="AC72" s="911"/>
      <c r="AD72" s="911"/>
      <c r="AE72" s="911"/>
      <c r="AF72" s="911"/>
      <c r="AG72" s="911"/>
      <c r="AH72" s="911"/>
      <c r="AI72" s="911"/>
      <c r="AJ72" s="911"/>
      <c r="AK72" s="911"/>
      <c r="AL72" s="911"/>
      <c r="AM72" s="911"/>
      <c r="AN72" s="911"/>
      <c r="AO72" s="911"/>
      <c r="AP72" s="911"/>
      <c r="AQ72" s="911"/>
      <c r="AR72" s="911"/>
      <c r="AS72" s="911"/>
      <c r="AT72" s="911"/>
      <c r="AU72" s="911"/>
      <c r="AV72" s="911"/>
      <c r="AW72" s="911"/>
      <c r="AX72" s="911"/>
      <c r="AY72" s="911"/>
      <c r="AZ72" s="911"/>
      <c r="BA72" s="911"/>
      <c r="BB72" s="911"/>
      <c r="BC72" s="911"/>
      <c r="BD72" s="911"/>
      <c r="BE72" s="911"/>
      <c r="BF72" s="911"/>
      <c r="BG72" s="911"/>
      <c r="BH72" s="911"/>
      <c r="BI72" s="911"/>
      <c r="BJ72" s="911"/>
      <c r="BK72" s="911"/>
      <c r="BL72" s="911"/>
      <c r="BM72" s="911"/>
      <c r="BN72" s="911"/>
      <c r="BO72" s="911"/>
      <c r="BP72" s="911"/>
      <c r="BQ72" s="911"/>
      <c r="BR72" s="911"/>
      <c r="BS72" s="911"/>
      <c r="BT72" s="911"/>
      <c r="BU72" s="911"/>
      <c r="BV72" s="911"/>
      <c r="BW72" s="911"/>
      <c r="BX72" s="911"/>
      <c r="BY72" s="911"/>
      <c r="BZ72" s="911"/>
      <c r="CA72" s="911"/>
    </row>
    <row r="73" spans="8:79" x14ac:dyDescent="0.2">
      <c r="H73" s="911"/>
      <c r="I73" s="911"/>
      <c r="J73" s="911"/>
      <c r="K73" s="911"/>
      <c r="L73" s="911"/>
      <c r="M73" s="911"/>
      <c r="N73" s="911"/>
      <c r="O73" s="911"/>
      <c r="P73" s="911"/>
      <c r="Q73" s="911"/>
      <c r="R73" s="911"/>
      <c r="S73" s="911"/>
      <c r="T73" s="911"/>
      <c r="U73" s="911"/>
      <c r="V73" s="911"/>
      <c r="W73" s="911"/>
      <c r="X73" s="911"/>
      <c r="Y73" s="911"/>
      <c r="Z73" s="911"/>
      <c r="AA73" s="911"/>
      <c r="AB73" s="911"/>
      <c r="AC73" s="911"/>
      <c r="AD73" s="911"/>
      <c r="AE73" s="911"/>
      <c r="AF73" s="911"/>
      <c r="AG73" s="911"/>
      <c r="AH73" s="911"/>
      <c r="AI73" s="911"/>
      <c r="AJ73" s="911"/>
      <c r="AK73" s="911"/>
      <c r="AL73" s="911"/>
      <c r="AM73" s="911"/>
      <c r="AN73" s="911"/>
      <c r="AO73" s="911"/>
      <c r="AP73" s="911"/>
      <c r="AQ73" s="911"/>
      <c r="AR73" s="911"/>
      <c r="AS73" s="911"/>
      <c r="AT73" s="911"/>
      <c r="AU73" s="911"/>
      <c r="AV73" s="911"/>
      <c r="AW73" s="911"/>
      <c r="AX73" s="911"/>
      <c r="AY73" s="911"/>
      <c r="AZ73" s="911"/>
      <c r="BA73" s="911"/>
      <c r="BB73" s="911"/>
      <c r="BC73" s="911"/>
      <c r="BD73" s="911"/>
      <c r="BE73" s="911"/>
      <c r="BF73" s="911"/>
      <c r="BG73" s="911"/>
      <c r="BH73" s="911"/>
      <c r="BI73" s="911"/>
      <c r="BJ73" s="911"/>
      <c r="BK73" s="911"/>
      <c r="BL73" s="911"/>
      <c r="BM73" s="911"/>
      <c r="BN73" s="911"/>
      <c r="BO73" s="911"/>
      <c r="BP73" s="911"/>
      <c r="BQ73" s="911"/>
      <c r="BR73" s="911"/>
      <c r="BS73" s="911"/>
      <c r="BT73" s="911"/>
      <c r="BU73" s="911"/>
      <c r="BV73" s="911"/>
      <c r="BW73" s="911"/>
      <c r="BX73" s="911"/>
      <c r="BY73" s="911"/>
      <c r="BZ73" s="911"/>
      <c r="CA73" s="911"/>
    </row>
    <row r="74" spans="8:79" x14ac:dyDescent="0.2">
      <c r="H74" s="911"/>
      <c r="I74" s="911"/>
      <c r="J74" s="911"/>
      <c r="K74" s="911"/>
      <c r="L74" s="911"/>
      <c r="M74" s="911"/>
      <c r="N74" s="911"/>
      <c r="O74" s="911"/>
      <c r="P74" s="911"/>
      <c r="Q74" s="911"/>
      <c r="R74" s="911"/>
      <c r="S74" s="911"/>
      <c r="T74" s="911"/>
      <c r="U74" s="911"/>
      <c r="V74" s="911"/>
      <c r="W74" s="911"/>
      <c r="X74" s="911"/>
      <c r="Y74" s="911"/>
      <c r="Z74" s="911"/>
      <c r="AA74" s="911"/>
      <c r="AB74" s="911"/>
      <c r="AC74" s="911"/>
      <c r="AD74" s="911"/>
      <c r="AE74" s="911"/>
      <c r="AF74" s="911"/>
      <c r="AG74" s="911"/>
      <c r="AH74" s="911"/>
      <c r="AI74" s="911"/>
      <c r="AJ74" s="911"/>
      <c r="AK74" s="911"/>
      <c r="AL74" s="911"/>
      <c r="AM74" s="911"/>
      <c r="AN74" s="911"/>
      <c r="AO74" s="911"/>
      <c r="AP74" s="911"/>
      <c r="AQ74" s="911"/>
      <c r="AR74" s="911"/>
      <c r="AS74" s="911"/>
      <c r="AT74" s="911"/>
      <c r="AU74" s="911"/>
      <c r="AV74" s="911"/>
      <c r="AW74" s="911"/>
      <c r="AX74" s="911"/>
      <c r="AY74" s="911"/>
      <c r="AZ74" s="911"/>
      <c r="BA74" s="911"/>
      <c r="BB74" s="911"/>
      <c r="BC74" s="911"/>
      <c r="BD74" s="911"/>
      <c r="BE74" s="911"/>
      <c r="BF74" s="911"/>
      <c r="BG74" s="911"/>
      <c r="BH74" s="911"/>
      <c r="BI74" s="911"/>
      <c r="BJ74" s="911"/>
      <c r="BK74" s="911"/>
      <c r="BL74" s="911"/>
      <c r="BM74" s="911"/>
      <c r="BN74" s="911"/>
      <c r="BO74" s="911"/>
      <c r="BP74" s="911"/>
      <c r="BQ74" s="911"/>
      <c r="BR74" s="911"/>
      <c r="BS74" s="911"/>
      <c r="BT74" s="911"/>
      <c r="BU74" s="911"/>
      <c r="BV74" s="911"/>
      <c r="BW74" s="911"/>
      <c r="BX74" s="911"/>
      <c r="BY74" s="911"/>
      <c r="BZ74" s="911"/>
      <c r="CA74" s="911"/>
    </row>
  </sheetData>
  <mergeCells count="74">
    <mergeCell ref="E37:F37"/>
    <mergeCell ref="B38:G38"/>
    <mergeCell ref="E41:F41"/>
    <mergeCell ref="B42:G42"/>
    <mergeCell ref="A29:C29"/>
    <mergeCell ref="D29:E29"/>
    <mergeCell ref="F29:G29"/>
    <mergeCell ref="A30:C30"/>
    <mergeCell ref="A34:G34"/>
    <mergeCell ref="A25:C26"/>
    <mergeCell ref="D25:G25"/>
    <mergeCell ref="D26:G26"/>
    <mergeCell ref="E27:F27"/>
    <mergeCell ref="E28:F28"/>
    <mergeCell ref="A23:B24"/>
    <mergeCell ref="C23:C24"/>
    <mergeCell ref="D23:E23"/>
    <mergeCell ref="F23:G24"/>
    <mergeCell ref="D24:E24"/>
    <mergeCell ref="A21:B22"/>
    <mergeCell ref="C21:C22"/>
    <mergeCell ref="D21:E21"/>
    <mergeCell ref="F21:G22"/>
    <mergeCell ref="D22:E22"/>
    <mergeCell ref="A14:B20"/>
    <mergeCell ref="C14:C20"/>
    <mergeCell ref="D14:E16"/>
    <mergeCell ref="F14:G14"/>
    <mergeCell ref="F15:G15"/>
    <mergeCell ref="F16:G16"/>
    <mergeCell ref="D17:E19"/>
    <mergeCell ref="F17:G17"/>
    <mergeCell ref="F18:G18"/>
    <mergeCell ref="F19:G19"/>
    <mergeCell ref="D20:G20"/>
    <mergeCell ref="A5:B6"/>
    <mergeCell ref="C5:C6"/>
    <mergeCell ref="D5:G6"/>
    <mergeCell ref="A7:B13"/>
    <mergeCell ref="C7:C13"/>
    <mergeCell ref="D7:E9"/>
    <mergeCell ref="F7:G7"/>
    <mergeCell ref="F8:G8"/>
    <mergeCell ref="F9:G9"/>
    <mergeCell ref="D10:E12"/>
    <mergeCell ref="F10:G10"/>
    <mergeCell ref="F11:G11"/>
    <mergeCell ref="F12:G12"/>
    <mergeCell ref="D13:G13"/>
    <mergeCell ref="BM4:BO4"/>
    <mergeCell ref="BP4:BR4"/>
    <mergeCell ref="BS4:BU4"/>
    <mergeCell ref="BV4:BX4"/>
    <mergeCell ref="BY4:CA4"/>
    <mergeCell ref="AX4:AZ4"/>
    <mergeCell ref="BA4:BC4"/>
    <mergeCell ref="BD4:BF4"/>
    <mergeCell ref="BG4:BI4"/>
    <mergeCell ref="BJ4:BL4"/>
    <mergeCell ref="AI4:AK4"/>
    <mergeCell ref="AL4:AN4"/>
    <mergeCell ref="AO4:AQ4"/>
    <mergeCell ref="AR4:AT4"/>
    <mergeCell ref="AU4:AW4"/>
    <mergeCell ref="T4:V4"/>
    <mergeCell ref="W4:Y4"/>
    <mergeCell ref="Z4:AB4"/>
    <mergeCell ref="AC4:AE4"/>
    <mergeCell ref="AF4:AH4"/>
    <mergeCell ref="A4:G4"/>
    <mergeCell ref="H4:J4"/>
    <mergeCell ref="K4:M4"/>
    <mergeCell ref="N4:P4"/>
    <mergeCell ref="Q4:S4"/>
  </mergeCells>
  <conditionalFormatting sqref="I31:CA33">
    <cfRule type="cellIs" dxfId="292" priority="2" stopIfTrue="1" operator="lessThan">
      <formula>0</formula>
    </cfRule>
  </conditionalFormatting>
  <conditionalFormatting sqref="I21:CA23">
    <cfRule type="cellIs" dxfId="291" priority="1" stopIfTrue="1" operator="lessThan">
      <formula>0</formula>
    </cfRule>
  </conditionalFormatting>
  <pageMargins left="0.23622047244094491" right="0.19685039370078741" top="0.31496062992125984" bottom="0.19685039370078741" header="0.27559055118110237" footer="0.15748031496062992"/>
  <pageSetup paperSize="8" fitToWidth="0" orientation="landscape" r:id="rId1"/>
  <headerFooter alignWithMargins="0"/>
  <colBreaks count="2" manualBreakCount="2">
    <brk id="31" max="44" man="1"/>
    <brk id="55" max="4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73"/>
  <sheetViews>
    <sheetView showZeros="0" view="pageBreakPreview" zoomScale="85" zoomScaleNormal="100" zoomScaleSheetLayoutView="85" workbookViewId="0">
      <pane xSplit="7" topLeftCell="H1" activePane="topRight" state="frozen"/>
      <selection activeCell="T40" sqref="T40:V41"/>
      <selection pane="topRight" activeCell="T40" sqref="T40:V41"/>
    </sheetView>
  </sheetViews>
  <sheetFormatPr defaultRowHeight="12.75" x14ac:dyDescent="0.2"/>
  <cols>
    <col min="1" max="1" width="5" style="516" customWidth="1"/>
    <col min="2" max="2" width="5.140625" style="516" customWidth="1"/>
    <col min="3" max="3" width="10.42578125" style="516" customWidth="1"/>
    <col min="4" max="4" width="6" style="516" customWidth="1"/>
    <col min="5" max="5" width="3.7109375" style="516" customWidth="1"/>
    <col min="6" max="6" width="5.140625" style="516" customWidth="1"/>
    <col min="7" max="7" width="4.42578125" style="516" customWidth="1"/>
    <col min="8" max="8" width="8.28515625" style="516" bestFit="1" customWidth="1"/>
    <col min="9" max="10" width="7.42578125" style="516" customWidth="1"/>
    <col min="11" max="11" width="8.28515625" style="516" bestFit="1" customWidth="1"/>
    <col min="12" max="13" width="7.42578125" style="516" customWidth="1"/>
    <col min="14" max="14" width="6.7109375" style="516" customWidth="1"/>
    <col min="15" max="16" width="7.42578125" style="516" customWidth="1"/>
    <col min="17" max="17" width="6.7109375" style="516" customWidth="1"/>
    <col min="18" max="19" width="7.42578125" style="516" customWidth="1"/>
    <col min="20" max="20" width="6.7109375" style="516" customWidth="1"/>
    <col min="21" max="22" width="7.42578125" style="516" customWidth="1"/>
    <col min="23" max="23" width="6.7109375" style="516" customWidth="1"/>
    <col min="24" max="25" width="7.42578125" style="516" customWidth="1"/>
    <col min="26" max="26" width="6.7109375" style="516" customWidth="1"/>
    <col min="27" max="28" width="7.42578125" style="516" customWidth="1"/>
    <col min="29" max="29" width="6.7109375" style="516" customWidth="1"/>
    <col min="30" max="31" width="7.42578125" style="516" customWidth="1"/>
    <col min="32" max="32" width="6.7109375" style="516" customWidth="1"/>
    <col min="33" max="34" width="7.42578125" style="516" customWidth="1"/>
    <col min="35" max="35" width="6.7109375" style="516" customWidth="1"/>
    <col min="36" max="37" width="7.42578125" style="516" customWidth="1"/>
    <col min="38" max="38" width="6.7109375" style="516" customWidth="1"/>
    <col min="39" max="40" width="7.42578125" style="516" customWidth="1"/>
    <col min="41" max="41" width="6.7109375" style="516" customWidth="1"/>
    <col min="42" max="43" width="7.42578125" style="516" customWidth="1"/>
    <col min="44" max="44" width="6.7109375" style="516" customWidth="1"/>
    <col min="45" max="46" width="7.42578125" style="516" customWidth="1"/>
    <col min="47" max="47" width="6.7109375" style="516" customWidth="1"/>
    <col min="48" max="49" width="7.42578125" style="516" customWidth="1"/>
    <col min="50" max="50" width="6.7109375" style="516" customWidth="1"/>
    <col min="51" max="52" width="7.42578125" style="516" customWidth="1"/>
    <col min="53" max="53" width="6.7109375" style="516" customWidth="1"/>
    <col min="54" max="55" width="7.42578125" style="516" customWidth="1"/>
    <col min="56" max="56" width="6.7109375" style="516" customWidth="1"/>
    <col min="57" max="58" width="7.42578125" style="516" customWidth="1"/>
    <col min="59" max="59" width="6.7109375" style="516" customWidth="1"/>
    <col min="60" max="61" width="7.42578125" style="516" customWidth="1"/>
    <col min="62" max="62" width="6.7109375" style="516" customWidth="1"/>
    <col min="63" max="64" width="7.42578125" style="516" customWidth="1"/>
    <col min="65" max="65" width="6.7109375" style="516" customWidth="1"/>
    <col min="66" max="67" width="7.42578125" style="516" customWidth="1"/>
    <col min="68" max="68" width="6.7109375" style="516" customWidth="1"/>
    <col min="69" max="70" width="7.42578125" style="516" customWidth="1"/>
    <col min="71" max="71" width="6.7109375" style="516" customWidth="1"/>
    <col min="72" max="73" width="7.42578125" style="516" customWidth="1"/>
    <col min="74" max="74" width="6.7109375" style="516" customWidth="1"/>
    <col min="75" max="76" width="7.42578125" style="516" customWidth="1"/>
    <col min="77" max="77" width="6.7109375" style="516" customWidth="1"/>
    <col min="78" max="79" width="7.42578125" style="516" customWidth="1"/>
    <col min="80" max="80" width="12.28515625" style="570" bestFit="1" customWidth="1"/>
    <col min="81" max="81" width="11.28515625" style="516" bestFit="1" customWidth="1"/>
    <col min="82" max="16384" width="9.140625" style="516"/>
  </cols>
  <sheetData>
    <row r="1" spans="1:83" s="382" customFormat="1" ht="26.25" x14ac:dyDescent="0.2">
      <c r="A1" s="599" t="s">
        <v>240</v>
      </c>
      <c r="CB1" s="973"/>
    </row>
    <row r="2" spans="1:83" s="600" customFormat="1" ht="26.25" x14ac:dyDescent="0.2">
      <c r="A2" s="601" t="s">
        <v>155</v>
      </c>
      <c r="C2" s="974"/>
      <c r="D2" s="974"/>
      <c r="E2" s="974"/>
      <c r="CB2" s="975"/>
    </row>
    <row r="3" spans="1:83" s="976" customFormat="1" ht="16.5" customHeight="1" thickBot="1" x14ac:dyDescent="0.25">
      <c r="B3" s="977"/>
      <c r="C3" s="977"/>
      <c r="D3" s="977"/>
      <c r="E3" s="977"/>
      <c r="F3" s="977"/>
      <c r="G3" s="977"/>
      <c r="H3" s="977"/>
      <c r="I3" s="978"/>
      <c r="J3" s="977"/>
      <c r="K3" s="977"/>
      <c r="L3" s="978"/>
      <c r="M3" s="977"/>
      <c r="N3" s="977"/>
      <c r="O3" s="978"/>
      <c r="P3" s="977"/>
      <c r="Q3" s="977"/>
      <c r="R3" s="978"/>
      <c r="S3" s="977"/>
      <c r="T3" s="977"/>
      <c r="U3" s="978"/>
      <c r="V3" s="977"/>
      <c r="W3" s="977"/>
      <c r="X3" s="978"/>
      <c r="Y3" s="977"/>
      <c r="Z3" s="977"/>
      <c r="AA3" s="978"/>
      <c r="AB3" s="977"/>
      <c r="AC3" s="977"/>
      <c r="AD3" s="978"/>
      <c r="AE3" s="977"/>
      <c r="AF3" s="977"/>
      <c r="AG3" s="978"/>
      <c r="AH3" s="977"/>
      <c r="AI3" s="977"/>
      <c r="AJ3" s="978"/>
      <c r="AK3" s="977"/>
      <c r="AL3" s="977"/>
      <c r="AM3" s="978"/>
      <c r="AN3" s="977"/>
      <c r="AO3" s="977"/>
      <c r="AP3" s="978"/>
      <c r="AQ3" s="977"/>
      <c r="AR3" s="977"/>
      <c r="AS3" s="978"/>
      <c r="AT3" s="977"/>
      <c r="AU3" s="977"/>
      <c r="AV3" s="978"/>
      <c r="AW3" s="977"/>
      <c r="AX3" s="977"/>
      <c r="AY3" s="978"/>
      <c r="AZ3" s="977"/>
      <c r="BA3" s="977"/>
      <c r="BB3" s="978"/>
      <c r="BC3" s="977"/>
      <c r="BD3" s="977"/>
      <c r="BE3" s="978"/>
      <c r="BF3" s="977"/>
      <c r="BG3" s="977"/>
      <c r="BH3" s="978"/>
      <c r="BI3" s="977"/>
      <c r="BJ3" s="977"/>
      <c r="BK3" s="978"/>
      <c r="BL3" s="977"/>
      <c r="BM3" s="977"/>
      <c r="BN3" s="978"/>
      <c r="BO3" s="977"/>
      <c r="BP3" s="977"/>
      <c r="BQ3" s="978"/>
      <c r="BR3" s="977"/>
      <c r="BS3" s="977"/>
      <c r="BT3" s="978"/>
      <c r="BU3" s="977"/>
      <c r="BV3" s="977"/>
      <c r="BW3" s="978"/>
      <c r="BX3" s="977"/>
      <c r="BY3" s="977"/>
      <c r="BZ3" s="978"/>
      <c r="CA3" s="977"/>
      <c r="CB3" s="979"/>
    </row>
    <row r="4" spans="1:83" ht="16.5" customHeight="1" thickBot="1" x14ac:dyDescent="0.25">
      <c r="A4" s="2353" t="s">
        <v>12</v>
      </c>
      <c r="B4" s="2354"/>
      <c r="C4" s="2354"/>
      <c r="D4" s="2354"/>
      <c r="E4" s="2354"/>
      <c r="F4" s="2354"/>
      <c r="G4" s="2355"/>
      <c r="H4" s="2306" t="s">
        <v>156</v>
      </c>
      <c r="I4" s="2307"/>
      <c r="J4" s="2308"/>
      <c r="K4" s="2306" t="s">
        <v>157</v>
      </c>
      <c r="L4" s="2307"/>
      <c r="M4" s="2308"/>
      <c r="N4" s="2306" t="s">
        <v>158</v>
      </c>
      <c r="O4" s="2307"/>
      <c r="P4" s="2308"/>
      <c r="Q4" s="2306" t="s">
        <v>159</v>
      </c>
      <c r="R4" s="2307"/>
      <c r="S4" s="2308"/>
      <c r="T4" s="2306" t="s">
        <v>160</v>
      </c>
      <c r="U4" s="2307"/>
      <c r="V4" s="2308"/>
      <c r="W4" s="2306" t="s">
        <v>161</v>
      </c>
      <c r="X4" s="2307"/>
      <c r="Y4" s="2308"/>
      <c r="Z4" s="2306" t="s">
        <v>162</v>
      </c>
      <c r="AA4" s="2307"/>
      <c r="AB4" s="2308"/>
      <c r="AC4" s="2306" t="s">
        <v>163</v>
      </c>
      <c r="AD4" s="2307"/>
      <c r="AE4" s="2308"/>
      <c r="AF4" s="2306" t="s">
        <v>164</v>
      </c>
      <c r="AG4" s="2307"/>
      <c r="AH4" s="2308"/>
      <c r="AI4" s="2306" t="s">
        <v>165</v>
      </c>
      <c r="AJ4" s="2307"/>
      <c r="AK4" s="2308"/>
      <c r="AL4" s="2306" t="s">
        <v>166</v>
      </c>
      <c r="AM4" s="2307"/>
      <c r="AN4" s="2308"/>
      <c r="AO4" s="2306" t="s">
        <v>167</v>
      </c>
      <c r="AP4" s="2307"/>
      <c r="AQ4" s="2308"/>
      <c r="AR4" s="2306" t="s">
        <v>168</v>
      </c>
      <c r="AS4" s="2307"/>
      <c r="AT4" s="2308"/>
      <c r="AU4" s="2306" t="s">
        <v>169</v>
      </c>
      <c r="AV4" s="2307"/>
      <c r="AW4" s="2308"/>
      <c r="AX4" s="2306" t="s">
        <v>170</v>
      </c>
      <c r="AY4" s="2307"/>
      <c r="AZ4" s="2308"/>
      <c r="BA4" s="2306" t="s">
        <v>171</v>
      </c>
      <c r="BB4" s="2307"/>
      <c r="BC4" s="2308"/>
      <c r="BD4" s="2306" t="s">
        <v>172</v>
      </c>
      <c r="BE4" s="2307"/>
      <c r="BF4" s="2308"/>
      <c r="BG4" s="2306" t="s">
        <v>173</v>
      </c>
      <c r="BH4" s="2307"/>
      <c r="BI4" s="2308"/>
      <c r="BJ4" s="2306" t="s">
        <v>174</v>
      </c>
      <c r="BK4" s="2307"/>
      <c r="BL4" s="2308"/>
      <c r="BM4" s="2306" t="s">
        <v>175</v>
      </c>
      <c r="BN4" s="2307"/>
      <c r="BO4" s="2308"/>
      <c r="BP4" s="2306" t="s">
        <v>176</v>
      </c>
      <c r="BQ4" s="2307"/>
      <c r="BR4" s="2308"/>
      <c r="BS4" s="2306" t="s">
        <v>177</v>
      </c>
      <c r="BT4" s="2307"/>
      <c r="BU4" s="2308"/>
      <c r="BV4" s="2306" t="s">
        <v>178</v>
      </c>
      <c r="BW4" s="2307"/>
      <c r="BX4" s="2308"/>
      <c r="BY4" s="2306" t="s">
        <v>179</v>
      </c>
      <c r="BZ4" s="2307"/>
      <c r="CA4" s="2308"/>
      <c r="CC4" s="980"/>
      <c r="CE4" s="517"/>
    </row>
    <row r="5" spans="1:83" x14ac:dyDescent="0.2">
      <c r="A5" s="2228" t="s">
        <v>180</v>
      </c>
      <c r="B5" s="2229"/>
      <c r="C5" s="2232" t="s">
        <v>181</v>
      </c>
      <c r="D5" s="2234"/>
      <c r="E5" s="2235"/>
      <c r="F5" s="2235"/>
      <c r="G5" s="2236"/>
      <c r="H5" s="551" t="s">
        <v>4</v>
      </c>
      <c r="I5" s="552" t="s">
        <v>9</v>
      </c>
      <c r="J5" s="553" t="s">
        <v>10</v>
      </c>
      <c r="K5" s="551" t="s">
        <v>4</v>
      </c>
      <c r="L5" s="552" t="s">
        <v>9</v>
      </c>
      <c r="M5" s="553" t="s">
        <v>10</v>
      </c>
      <c r="N5" s="551" t="s">
        <v>4</v>
      </c>
      <c r="O5" s="552" t="s">
        <v>9</v>
      </c>
      <c r="P5" s="553" t="s">
        <v>10</v>
      </c>
      <c r="Q5" s="551" t="s">
        <v>4</v>
      </c>
      <c r="R5" s="552" t="s">
        <v>9</v>
      </c>
      <c r="S5" s="553" t="s">
        <v>10</v>
      </c>
      <c r="T5" s="551" t="s">
        <v>4</v>
      </c>
      <c r="U5" s="552" t="s">
        <v>9</v>
      </c>
      <c r="V5" s="553" t="s">
        <v>10</v>
      </c>
      <c r="W5" s="551" t="s">
        <v>4</v>
      </c>
      <c r="X5" s="552" t="s">
        <v>9</v>
      </c>
      <c r="Y5" s="553" t="s">
        <v>10</v>
      </c>
      <c r="Z5" s="551" t="s">
        <v>4</v>
      </c>
      <c r="AA5" s="552" t="s">
        <v>9</v>
      </c>
      <c r="AB5" s="553" t="s">
        <v>10</v>
      </c>
      <c r="AC5" s="551" t="s">
        <v>4</v>
      </c>
      <c r="AD5" s="552" t="s">
        <v>9</v>
      </c>
      <c r="AE5" s="553" t="s">
        <v>10</v>
      </c>
      <c r="AF5" s="551" t="s">
        <v>4</v>
      </c>
      <c r="AG5" s="552" t="s">
        <v>9</v>
      </c>
      <c r="AH5" s="553" t="s">
        <v>10</v>
      </c>
      <c r="AI5" s="551" t="s">
        <v>4</v>
      </c>
      <c r="AJ5" s="552" t="s">
        <v>9</v>
      </c>
      <c r="AK5" s="553" t="s">
        <v>10</v>
      </c>
      <c r="AL5" s="551" t="s">
        <v>4</v>
      </c>
      <c r="AM5" s="552" t="s">
        <v>9</v>
      </c>
      <c r="AN5" s="553" t="s">
        <v>10</v>
      </c>
      <c r="AO5" s="551" t="s">
        <v>4</v>
      </c>
      <c r="AP5" s="552" t="s">
        <v>9</v>
      </c>
      <c r="AQ5" s="553" t="s">
        <v>10</v>
      </c>
      <c r="AR5" s="551" t="s">
        <v>4</v>
      </c>
      <c r="AS5" s="552" t="s">
        <v>9</v>
      </c>
      <c r="AT5" s="553" t="s">
        <v>10</v>
      </c>
      <c r="AU5" s="551" t="s">
        <v>4</v>
      </c>
      <c r="AV5" s="552" t="s">
        <v>9</v>
      </c>
      <c r="AW5" s="553" t="s">
        <v>10</v>
      </c>
      <c r="AX5" s="551" t="s">
        <v>4</v>
      </c>
      <c r="AY5" s="552" t="s">
        <v>9</v>
      </c>
      <c r="AZ5" s="553" t="s">
        <v>10</v>
      </c>
      <c r="BA5" s="551" t="s">
        <v>4</v>
      </c>
      <c r="BB5" s="552" t="s">
        <v>9</v>
      </c>
      <c r="BC5" s="553" t="s">
        <v>10</v>
      </c>
      <c r="BD5" s="551" t="s">
        <v>4</v>
      </c>
      <c r="BE5" s="552" t="s">
        <v>9</v>
      </c>
      <c r="BF5" s="553" t="s">
        <v>10</v>
      </c>
      <c r="BG5" s="551" t="s">
        <v>4</v>
      </c>
      <c r="BH5" s="552" t="s">
        <v>9</v>
      </c>
      <c r="BI5" s="553" t="s">
        <v>10</v>
      </c>
      <c r="BJ5" s="551" t="s">
        <v>4</v>
      </c>
      <c r="BK5" s="552" t="s">
        <v>9</v>
      </c>
      <c r="BL5" s="553" t="s">
        <v>10</v>
      </c>
      <c r="BM5" s="551" t="s">
        <v>4</v>
      </c>
      <c r="BN5" s="552" t="s">
        <v>9</v>
      </c>
      <c r="BO5" s="553" t="s">
        <v>10</v>
      </c>
      <c r="BP5" s="551" t="s">
        <v>4</v>
      </c>
      <c r="BQ5" s="552" t="s">
        <v>9</v>
      </c>
      <c r="BR5" s="553" t="s">
        <v>10</v>
      </c>
      <c r="BS5" s="551" t="s">
        <v>4</v>
      </c>
      <c r="BT5" s="552" t="s">
        <v>9</v>
      </c>
      <c r="BU5" s="553" t="s">
        <v>10</v>
      </c>
      <c r="BV5" s="551" t="s">
        <v>4</v>
      </c>
      <c r="BW5" s="552" t="s">
        <v>9</v>
      </c>
      <c r="BX5" s="553" t="s">
        <v>10</v>
      </c>
      <c r="BY5" s="551" t="s">
        <v>4</v>
      </c>
      <c r="BZ5" s="552" t="s">
        <v>9</v>
      </c>
      <c r="CA5" s="553" t="s">
        <v>10</v>
      </c>
    </row>
    <row r="6" spans="1:83" ht="13.5" thickBot="1" x14ac:dyDescent="0.25">
      <c r="A6" s="2230"/>
      <c r="B6" s="2231"/>
      <c r="C6" s="2233"/>
      <c r="D6" s="2237"/>
      <c r="E6" s="2238"/>
      <c r="F6" s="2238"/>
      <c r="G6" s="2239"/>
      <c r="H6" s="711" t="s">
        <v>30</v>
      </c>
      <c r="I6" s="712" t="s">
        <v>31</v>
      </c>
      <c r="J6" s="713" t="s">
        <v>32</v>
      </c>
      <c r="K6" s="711" t="s">
        <v>30</v>
      </c>
      <c r="L6" s="712" t="s">
        <v>31</v>
      </c>
      <c r="M6" s="713" t="s">
        <v>32</v>
      </c>
      <c r="N6" s="711" t="s">
        <v>30</v>
      </c>
      <c r="O6" s="712" t="s">
        <v>31</v>
      </c>
      <c r="P6" s="713" t="s">
        <v>32</v>
      </c>
      <c r="Q6" s="711" t="s">
        <v>30</v>
      </c>
      <c r="R6" s="712" t="s">
        <v>31</v>
      </c>
      <c r="S6" s="713" t="s">
        <v>32</v>
      </c>
      <c r="T6" s="711" t="s">
        <v>30</v>
      </c>
      <c r="U6" s="712" t="s">
        <v>31</v>
      </c>
      <c r="V6" s="713" t="s">
        <v>32</v>
      </c>
      <c r="W6" s="711" t="s">
        <v>30</v>
      </c>
      <c r="X6" s="712" t="s">
        <v>31</v>
      </c>
      <c r="Y6" s="713" t="s">
        <v>32</v>
      </c>
      <c r="Z6" s="711" t="s">
        <v>30</v>
      </c>
      <c r="AA6" s="712" t="s">
        <v>31</v>
      </c>
      <c r="AB6" s="713" t="s">
        <v>32</v>
      </c>
      <c r="AC6" s="711" t="s">
        <v>30</v>
      </c>
      <c r="AD6" s="712" t="s">
        <v>31</v>
      </c>
      <c r="AE6" s="713" t="s">
        <v>32</v>
      </c>
      <c r="AF6" s="711" t="s">
        <v>30</v>
      </c>
      <c r="AG6" s="712" t="s">
        <v>31</v>
      </c>
      <c r="AH6" s="713" t="s">
        <v>32</v>
      </c>
      <c r="AI6" s="711" t="s">
        <v>30</v>
      </c>
      <c r="AJ6" s="712" t="s">
        <v>31</v>
      </c>
      <c r="AK6" s="713" t="s">
        <v>32</v>
      </c>
      <c r="AL6" s="711" t="s">
        <v>30</v>
      </c>
      <c r="AM6" s="712" t="s">
        <v>31</v>
      </c>
      <c r="AN6" s="713" t="s">
        <v>32</v>
      </c>
      <c r="AO6" s="711" t="s">
        <v>30</v>
      </c>
      <c r="AP6" s="712" t="s">
        <v>31</v>
      </c>
      <c r="AQ6" s="713" t="s">
        <v>32</v>
      </c>
      <c r="AR6" s="711" t="s">
        <v>30</v>
      </c>
      <c r="AS6" s="712" t="s">
        <v>31</v>
      </c>
      <c r="AT6" s="713" t="s">
        <v>32</v>
      </c>
      <c r="AU6" s="711" t="s">
        <v>30</v>
      </c>
      <c r="AV6" s="712" t="s">
        <v>31</v>
      </c>
      <c r="AW6" s="713" t="s">
        <v>32</v>
      </c>
      <c r="AX6" s="711" t="s">
        <v>30</v>
      </c>
      <c r="AY6" s="712" t="s">
        <v>31</v>
      </c>
      <c r="AZ6" s="713" t="s">
        <v>32</v>
      </c>
      <c r="BA6" s="711" t="s">
        <v>30</v>
      </c>
      <c r="BB6" s="712" t="s">
        <v>31</v>
      </c>
      <c r="BC6" s="713" t="s">
        <v>32</v>
      </c>
      <c r="BD6" s="711" t="s">
        <v>30</v>
      </c>
      <c r="BE6" s="712" t="s">
        <v>31</v>
      </c>
      <c r="BF6" s="713" t="s">
        <v>32</v>
      </c>
      <c r="BG6" s="711" t="s">
        <v>30</v>
      </c>
      <c r="BH6" s="712" t="s">
        <v>31</v>
      </c>
      <c r="BI6" s="713" t="s">
        <v>32</v>
      </c>
      <c r="BJ6" s="711" t="s">
        <v>30</v>
      </c>
      <c r="BK6" s="712" t="s">
        <v>31</v>
      </c>
      <c r="BL6" s="713" t="s">
        <v>32</v>
      </c>
      <c r="BM6" s="711" t="s">
        <v>30</v>
      </c>
      <c r="BN6" s="712" t="s">
        <v>31</v>
      </c>
      <c r="BO6" s="713" t="s">
        <v>32</v>
      </c>
      <c r="BP6" s="711" t="s">
        <v>30</v>
      </c>
      <c r="BQ6" s="712" t="s">
        <v>31</v>
      </c>
      <c r="BR6" s="713" t="s">
        <v>32</v>
      </c>
      <c r="BS6" s="711" t="s">
        <v>30</v>
      </c>
      <c r="BT6" s="712" t="s">
        <v>31</v>
      </c>
      <c r="BU6" s="713" t="s">
        <v>32</v>
      </c>
      <c r="BV6" s="711" t="s">
        <v>30</v>
      </c>
      <c r="BW6" s="712" t="s">
        <v>31</v>
      </c>
      <c r="BX6" s="713" t="s">
        <v>32</v>
      </c>
      <c r="BY6" s="711" t="s">
        <v>30</v>
      </c>
      <c r="BZ6" s="712" t="s">
        <v>31</v>
      </c>
      <c r="CA6" s="713" t="s">
        <v>32</v>
      </c>
    </row>
    <row r="7" spans="1:83" ht="12.75" customHeight="1" x14ac:dyDescent="0.2">
      <c r="A7" s="2240" t="s">
        <v>0</v>
      </c>
      <c r="B7" s="2241"/>
      <c r="C7" s="2246">
        <v>6.3</v>
      </c>
      <c r="D7" s="2249" t="s">
        <v>13</v>
      </c>
      <c r="E7" s="2250"/>
      <c r="F7" s="2356" t="s">
        <v>33</v>
      </c>
      <c r="G7" s="2357"/>
      <c r="H7" s="919" t="s">
        <v>84</v>
      </c>
      <c r="I7" s="920" t="s">
        <v>84</v>
      </c>
      <c r="J7" s="921" t="s">
        <v>84</v>
      </c>
      <c r="K7" s="919" t="s">
        <v>84</v>
      </c>
      <c r="L7" s="920" t="s">
        <v>84</v>
      </c>
      <c r="M7" s="921" t="s">
        <v>84</v>
      </c>
      <c r="N7" s="919" t="s">
        <v>84</v>
      </c>
      <c r="O7" s="920" t="s">
        <v>84</v>
      </c>
      <c r="P7" s="921" t="s">
        <v>84</v>
      </c>
      <c r="Q7" s="919" t="s">
        <v>84</v>
      </c>
      <c r="R7" s="920" t="s">
        <v>84</v>
      </c>
      <c r="S7" s="921" t="s">
        <v>84</v>
      </c>
      <c r="T7" s="919" t="s">
        <v>84</v>
      </c>
      <c r="U7" s="920" t="s">
        <v>84</v>
      </c>
      <c r="V7" s="921" t="s">
        <v>84</v>
      </c>
      <c r="W7" s="919" t="s">
        <v>84</v>
      </c>
      <c r="X7" s="920" t="s">
        <v>84</v>
      </c>
      <c r="Y7" s="921" t="s">
        <v>84</v>
      </c>
      <c r="Z7" s="919" t="s">
        <v>84</v>
      </c>
      <c r="AA7" s="920" t="s">
        <v>84</v>
      </c>
      <c r="AB7" s="921" t="s">
        <v>84</v>
      </c>
      <c r="AC7" s="919" t="s">
        <v>84</v>
      </c>
      <c r="AD7" s="920" t="s">
        <v>84</v>
      </c>
      <c r="AE7" s="921" t="s">
        <v>84</v>
      </c>
      <c r="AF7" s="919" t="s">
        <v>84</v>
      </c>
      <c r="AG7" s="920" t="s">
        <v>84</v>
      </c>
      <c r="AH7" s="921" t="s">
        <v>84</v>
      </c>
      <c r="AI7" s="919" t="s">
        <v>84</v>
      </c>
      <c r="AJ7" s="920" t="s">
        <v>84</v>
      </c>
      <c r="AK7" s="921" t="s">
        <v>84</v>
      </c>
      <c r="AL7" s="919" t="s">
        <v>84</v>
      </c>
      <c r="AM7" s="920" t="s">
        <v>84</v>
      </c>
      <c r="AN7" s="921" t="s">
        <v>84</v>
      </c>
      <c r="AO7" s="919" t="s">
        <v>84</v>
      </c>
      <c r="AP7" s="920" t="s">
        <v>84</v>
      </c>
      <c r="AQ7" s="921" t="s">
        <v>84</v>
      </c>
      <c r="AR7" s="919" t="s">
        <v>84</v>
      </c>
      <c r="AS7" s="920" t="s">
        <v>84</v>
      </c>
      <c r="AT7" s="921" t="s">
        <v>84</v>
      </c>
      <c r="AU7" s="919" t="s">
        <v>84</v>
      </c>
      <c r="AV7" s="920" t="s">
        <v>84</v>
      </c>
      <c r="AW7" s="921" t="s">
        <v>84</v>
      </c>
      <c r="AX7" s="919" t="s">
        <v>84</v>
      </c>
      <c r="AY7" s="920" t="s">
        <v>84</v>
      </c>
      <c r="AZ7" s="921" t="s">
        <v>84</v>
      </c>
      <c r="BA7" s="919" t="s">
        <v>84</v>
      </c>
      <c r="BB7" s="920" t="s">
        <v>84</v>
      </c>
      <c r="BC7" s="921" t="s">
        <v>84</v>
      </c>
      <c r="BD7" s="919" t="s">
        <v>84</v>
      </c>
      <c r="BE7" s="920" t="s">
        <v>84</v>
      </c>
      <c r="BF7" s="921" t="s">
        <v>84</v>
      </c>
      <c r="BG7" s="919" t="s">
        <v>84</v>
      </c>
      <c r="BH7" s="920" t="s">
        <v>84</v>
      </c>
      <c r="BI7" s="921" t="s">
        <v>84</v>
      </c>
      <c r="BJ7" s="919" t="s">
        <v>84</v>
      </c>
      <c r="BK7" s="920" t="s">
        <v>84</v>
      </c>
      <c r="BL7" s="921" t="s">
        <v>84</v>
      </c>
      <c r="BM7" s="919" t="s">
        <v>84</v>
      </c>
      <c r="BN7" s="920" t="s">
        <v>84</v>
      </c>
      <c r="BO7" s="921" t="s">
        <v>84</v>
      </c>
      <c r="BP7" s="919" t="s">
        <v>84</v>
      </c>
      <c r="BQ7" s="920" t="s">
        <v>84</v>
      </c>
      <c r="BR7" s="921" t="s">
        <v>84</v>
      </c>
      <c r="BS7" s="919" t="s">
        <v>84</v>
      </c>
      <c r="BT7" s="920" t="s">
        <v>84</v>
      </c>
      <c r="BU7" s="921" t="s">
        <v>84</v>
      </c>
      <c r="BV7" s="919" t="s">
        <v>84</v>
      </c>
      <c r="BW7" s="920" t="s">
        <v>84</v>
      </c>
      <c r="BX7" s="921" t="s">
        <v>84</v>
      </c>
      <c r="BY7" s="919" t="s">
        <v>84</v>
      </c>
      <c r="BZ7" s="920" t="s">
        <v>84</v>
      </c>
      <c r="CA7" s="921" t="s">
        <v>84</v>
      </c>
    </row>
    <row r="8" spans="1:83" x14ac:dyDescent="0.2">
      <c r="A8" s="2242"/>
      <c r="B8" s="2243"/>
      <c r="C8" s="2247"/>
      <c r="D8" s="2251"/>
      <c r="E8" s="2252"/>
      <c r="F8" s="2358" t="s">
        <v>34</v>
      </c>
      <c r="G8" s="2359"/>
      <c r="H8" s="518">
        <f>ROUND(SQRT(I8^2+J8^2)*1000/(SQRT(3)*I11),2)</f>
        <v>31.63</v>
      </c>
      <c r="I8" s="815">
        <f>I34+I21</f>
        <v>0.52611200000000002</v>
      </c>
      <c r="J8" s="815">
        <f>J34+J21</f>
        <v>0.15268799999999999</v>
      </c>
      <c r="K8" s="518">
        <f>ROUND(SQRT(L8^2+M8^2)*1000/(SQRT(3)*L11),2)</f>
        <v>30.43</v>
      </c>
      <c r="L8" s="815">
        <f>L34+L21</f>
        <v>0.50484000000000007</v>
      </c>
      <c r="M8" s="815">
        <f>M34+M21</f>
        <v>0.15116000000000002</v>
      </c>
      <c r="N8" s="518">
        <f>ROUND(SQRT(O8^2+P8^2)*1000/(SQRT(3)*O11),2)</f>
        <v>30.4</v>
      </c>
      <c r="O8" s="815">
        <f>O34+O21</f>
        <v>0.5048720000000001</v>
      </c>
      <c r="P8" s="815">
        <f>P34+P21</f>
        <v>0.149368</v>
      </c>
      <c r="Q8" s="518">
        <f>ROUND(SQRT(R8^2+S8^2)*1000/(SQRT(3)*R11),2)</f>
        <v>29.77</v>
      </c>
      <c r="R8" s="815">
        <f>R34+R21</f>
        <v>0.49299999999999999</v>
      </c>
      <c r="S8" s="815">
        <f>S34+S21</f>
        <v>0.15116799999999997</v>
      </c>
      <c r="T8" s="518">
        <f>ROUND(SQRT(U8^2+V8^2)*1000/(SQRT(3)*U11),2)</f>
        <v>29.75</v>
      </c>
      <c r="U8" s="815">
        <f>U34+U21</f>
        <v>0.49375199999999997</v>
      </c>
      <c r="V8" s="815">
        <f>V34+V21</f>
        <v>0.14763199999999999</v>
      </c>
      <c r="W8" s="518">
        <f>ROUND(SQRT(X8^2+Y8^2)*1000/(SQRT(3)*X11),2)</f>
        <v>31.33</v>
      </c>
      <c r="X8" s="815">
        <f>X34+X21</f>
        <v>0.52161599999999997</v>
      </c>
      <c r="Y8" s="815">
        <f>Y34+Y21</f>
        <v>0.14973599999999998</v>
      </c>
      <c r="Z8" s="518">
        <f>ROUND(SQRT(AA8^2+AB8^2)*1000/(SQRT(3)*AA11),2)</f>
        <v>33.72</v>
      </c>
      <c r="AA8" s="815">
        <f>AA34+AA21</f>
        <v>0.56567999999999996</v>
      </c>
      <c r="AB8" s="815">
        <f>AB34+AB21</f>
        <v>0.14500800000000003</v>
      </c>
      <c r="AC8" s="518">
        <f>ROUND(SQRT(AD8^2+AE8^2)*1000/(SQRT(3)*AD11),2)</f>
        <v>37.869999999999997</v>
      </c>
      <c r="AD8" s="815">
        <f>AD34+AD21</f>
        <v>0.64117599999999997</v>
      </c>
      <c r="AE8" s="815">
        <f>AE34+AE21</f>
        <v>0.13869600000000001</v>
      </c>
      <c r="AF8" s="518">
        <f>ROUND(SQRT(AG8^2+AH8^2)*1000/(SQRT(3)*AG11),2)</f>
        <v>41.31</v>
      </c>
      <c r="AG8" s="815">
        <f>AG34+AG21</f>
        <v>0.70097600000000004</v>
      </c>
      <c r="AH8" s="815">
        <f>AH34+AH21</f>
        <v>0.14389599999999997</v>
      </c>
      <c r="AI8" s="518">
        <f>ROUND(SQRT(AJ8^2+AK8^2)*1000/(SQRT(3)*AJ11),2)</f>
        <v>44</v>
      </c>
      <c r="AJ8" s="815">
        <f>AJ34+AJ21</f>
        <v>0.74840000000000007</v>
      </c>
      <c r="AK8" s="815">
        <f>AK34+AK21</f>
        <v>0.144176</v>
      </c>
      <c r="AL8" s="518">
        <f>ROUND(SQRT(AM8^2+AN8^2)*1000/(SQRT(3)*AM11),2)</f>
        <v>44.92</v>
      </c>
      <c r="AM8" s="815">
        <f>AM34+AM21</f>
        <v>0.76335199999999992</v>
      </c>
      <c r="AN8" s="815">
        <f>AN34+AN21</f>
        <v>0.15062400000000001</v>
      </c>
      <c r="AO8" s="518">
        <f>ROUND(SQRT(AP8^2+AQ8^2)*1000/(SQRT(3)*AP11),2)</f>
        <v>44.9</v>
      </c>
      <c r="AP8" s="815">
        <f>AP34+AP21</f>
        <v>0.76247999999999994</v>
      </c>
      <c r="AQ8" s="815">
        <f>AQ34+AQ21</f>
        <v>0.15329600000000002</v>
      </c>
      <c r="AR8" s="518">
        <f>ROUND(SQRT(AS8^2+AT8^2)*1000/(SQRT(3)*AS11),2)</f>
        <v>44.3</v>
      </c>
      <c r="AS8" s="815">
        <f>AS34+AS21</f>
        <v>0.75252799999999997</v>
      </c>
      <c r="AT8" s="815">
        <f>AT34+AT21</f>
        <v>0.14994399999999999</v>
      </c>
      <c r="AU8" s="518">
        <f>ROUND(SQRT(AV8^2+AW8^2)*1000/(SQRT(3)*AV11),2)</f>
        <v>44.23</v>
      </c>
      <c r="AV8" s="815">
        <f>AV34+AV21</f>
        <v>0.75178400000000001</v>
      </c>
      <c r="AW8" s="815">
        <f>AW34+AW21</f>
        <v>0.147344</v>
      </c>
      <c r="AX8" s="518">
        <f>ROUND(SQRT(AY8^2+AZ8^2)*1000/(SQRT(3)*AY11),2)</f>
        <v>43.84</v>
      </c>
      <c r="AY8" s="815">
        <f>AY34+AY21</f>
        <v>0.74515200000000004</v>
      </c>
      <c r="AZ8" s="815">
        <f>AZ34+AZ21</f>
        <v>0.14596000000000001</v>
      </c>
      <c r="BA8" s="518">
        <f>ROUND(SQRT(BB8^2+BC8^2)*1000/(SQRT(3)*BB11),2)</f>
        <v>43.72</v>
      </c>
      <c r="BB8" s="815">
        <f>BB34+BB21</f>
        <v>0.74360000000000004</v>
      </c>
      <c r="BC8" s="815">
        <f>BC34+BC21</f>
        <v>0.143152</v>
      </c>
      <c r="BD8" s="518">
        <f>ROUND(SQRT(BE8^2+BF8^2)*1000/(SQRT(3)*BE11),2)</f>
        <v>44.11</v>
      </c>
      <c r="BE8" s="815">
        <f>BE34+BE21</f>
        <v>0.75031200000000009</v>
      </c>
      <c r="BF8" s="815">
        <f>BF34+BF21</f>
        <v>0.143952</v>
      </c>
      <c r="BG8" s="518">
        <f>ROUND(SQRT(BH8^2+BI8^2)*1000/(SQRT(3)*BH11),2)</f>
        <v>41.51</v>
      </c>
      <c r="BH8" s="815">
        <f>BH34+BH21</f>
        <v>0.70496799999999993</v>
      </c>
      <c r="BI8" s="815">
        <f>BI34+BI21</f>
        <v>0.14135999999999999</v>
      </c>
      <c r="BJ8" s="518">
        <f>ROUND(SQRT(BK8^2+BL8^2)*1000/(SQRT(3)*BK11),2)</f>
        <v>40.200000000000003</v>
      </c>
      <c r="BK8" s="815">
        <f>BK34+BK21</f>
        <v>0.681176</v>
      </c>
      <c r="BL8" s="815">
        <f>BL34+BL21</f>
        <v>0.144624</v>
      </c>
      <c r="BM8" s="518">
        <f>ROUND(SQRT(BN8^2+BO8^2)*1000/(SQRT(3)*BN11),2)</f>
        <v>38.43</v>
      </c>
      <c r="BN8" s="815">
        <f>BN34+BN21</f>
        <v>0.65170400000000006</v>
      </c>
      <c r="BO8" s="815">
        <f>BO34+BO21</f>
        <v>0.13544800000000001</v>
      </c>
      <c r="BP8" s="518">
        <f>ROUND(SQRT(BQ8^2+BR8^2)*1000/(SQRT(3)*BQ11),2)</f>
        <v>36.83</v>
      </c>
      <c r="BQ8" s="815">
        <f>BQ34+BQ21</f>
        <v>0.62309600000000009</v>
      </c>
      <c r="BR8" s="815">
        <f>BR34+BR21</f>
        <v>0.13640799999999997</v>
      </c>
      <c r="BS8" s="518">
        <f>ROUND(SQRT(BT8^2+BU8^2)*1000/(SQRT(3)*BT11),2)</f>
        <v>35.54</v>
      </c>
      <c r="BT8" s="815">
        <f>BT34+BT21</f>
        <v>0.5995680000000001</v>
      </c>
      <c r="BU8" s="815">
        <f>BU34+BU21</f>
        <v>0.13912799999999997</v>
      </c>
      <c r="BV8" s="518">
        <f>ROUND(SQRT(BW8^2+BX8^2)*1000/(SQRT(3)*BW11),2)</f>
        <v>33.97</v>
      </c>
      <c r="BW8" s="815">
        <f>BW34+BW21</f>
        <v>0.57240800000000003</v>
      </c>
      <c r="BX8" s="815">
        <f>BX34+BX21</f>
        <v>0.13636000000000001</v>
      </c>
      <c r="BY8" s="518">
        <f>ROUND(SQRT(BZ8^2+CA8^2)*1000/(SQRT(3)*BZ11),2)</f>
        <v>32.21</v>
      </c>
      <c r="BZ8" s="815">
        <f>BZ34+BZ21</f>
        <v>0.53852800000000001</v>
      </c>
      <c r="CA8" s="815">
        <f>CA34+CA21</f>
        <v>0.14544799999999999</v>
      </c>
      <c r="CE8" s="517"/>
    </row>
    <row r="9" spans="1:83" ht="13.5" customHeight="1" thickBot="1" x14ac:dyDescent="0.25">
      <c r="A9" s="2242"/>
      <c r="B9" s="2243"/>
      <c r="C9" s="2247"/>
      <c r="D9" s="2253"/>
      <c r="E9" s="2254"/>
      <c r="F9" s="2259"/>
      <c r="G9" s="2260"/>
      <c r="H9" s="523" t="s">
        <v>84</v>
      </c>
      <c r="I9" s="524" t="s">
        <v>84</v>
      </c>
      <c r="J9" s="525" t="s">
        <v>84</v>
      </c>
      <c r="K9" s="523" t="s">
        <v>84</v>
      </c>
      <c r="L9" s="524" t="s">
        <v>84</v>
      </c>
      <c r="M9" s="525" t="s">
        <v>84</v>
      </c>
      <c r="N9" s="523" t="s">
        <v>84</v>
      </c>
      <c r="O9" s="524" t="s">
        <v>84</v>
      </c>
      <c r="P9" s="525" t="s">
        <v>84</v>
      </c>
      <c r="Q9" s="523" t="s">
        <v>84</v>
      </c>
      <c r="R9" s="524" t="s">
        <v>84</v>
      </c>
      <c r="S9" s="525" t="s">
        <v>84</v>
      </c>
      <c r="T9" s="523" t="s">
        <v>84</v>
      </c>
      <c r="U9" s="524" t="s">
        <v>84</v>
      </c>
      <c r="V9" s="525" t="s">
        <v>84</v>
      </c>
      <c r="W9" s="523" t="s">
        <v>84</v>
      </c>
      <c r="X9" s="524" t="s">
        <v>84</v>
      </c>
      <c r="Y9" s="525" t="s">
        <v>84</v>
      </c>
      <c r="Z9" s="523" t="s">
        <v>84</v>
      </c>
      <c r="AA9" s="524" t="s">
        <v>84</v>
      </c>
      <c r="AB9" s="525" t="s">
        <v>84</v>
      </c>
      <c r="AC9" s="523" t="s">
        <v>84</v>
      </c>
      <c r="AD9" s="524" t="s">
        <v>84</v>
      </c>
      <c r="AE9" s="525" t="s">
        <v>84</v>
      </c>
      <c r="AF9" s="523" t="s">
        <v>84</v>
      </c>
      <c r="AG9" s="524" t="s">
        <v>84</v>
      </c>
      <c r="AH9" s="525" t="s">
        <v>84</v>
      </c>
      <c r="AI9" s="523" t="s">
        <v>84</v>
      </c>
      <c r="AJ9" s="524" t="s">
        <v>84</v>
      </c>
      <c r="AK9" s="525" t="s">
        <v>84</v>
      </c>
      <c r="AL9" s="523" t="s">
        <v>84</v>
      </c>
      <c r="AM9" s="524" t="s">
        <v>84</v>
      </c>
      <c r="AN9" s="525" t="s">
        <v>84</v>
      </c>
      <c r="AO9" s="523" t="s">
        <v>84</v>
      </c>
      <c r="AP9" s="524" t="s">
        <v>84</v>
      </c>
      <c r="AQ9" s="525" t="s">
        <v>84</v>
      </c>
      <c r="AR9" s="523" t="s">
        <v>84</v>
      </c>
      <c r="AS9" s="524" t="s">
        <v>84</v>
      </c>
      <c r="AT9" s="525" t="s">
        <v>84</v>
      </c>
      <c r="AU9" s="523" t="s">
        <v>84</v>
      </c>
      <c r="AV9" s="524" t="s">
        <v>84</v>
      </c>
      <c r="AW9" s="525" t="s">
        <v>84</v>
      </c>
      <c r="AX9" s="523" t="s">
        <v>84</v>
      </c>
      <c r="AY9" s="524" t="s">
        <v>84</v>
      </c>
      <c r="AZ9" s="525" t="s">
        <v>84</v>
      </c>
      <c r="BA9" s="523" t="s">
        <v>84</v>
      </c>
      <c r="BB9" s="524" t="s">
        <v>84</v>
      </c>
      <c r="BC9" s="525" t="s">
        <v>84</v>
      </c>
      <c r="BD9" s="523" t="s">
        <v>84</v>
      </c>
      <c r="BE9" s="524" t="s">
        <v>84</v>
      </c>
      <c r="BF9" s="525" t="s">
        <v>84</v>
      </c>
      <c r="BG9" s="523" t="s">
        <v>84</v>
      </c>
      <c r="BH9" s="524" t="s">
        <v>84</v>
      </c>
      <c r="BI9" s="525" t="s">
        <v>84</v>
      </c>
      <c r="BJ9" s="523" t="s">
        <v>84</v>
      </c>
      <c r="BK9" s="524" t="s">
        <v>84</v>
      </c>
      <c r="BL9" s="525" t="s">
        <v>84</v>
      </c>
      <c r="BM9" s="523" t="s">
        <v>84</v>
      </c>
      <c r="BN9" s="524" t="s">
        <v>84</v>
      </c>
      <c r="BO9" s="525" t="s">
        <v>84</v>
      </c>
      <c r="BP9" s="523" t="s">
        <v>84</v>
      </c>
      <c r="BQ9" s="524" t="s">
        <v>84</v>
      </c>
      <c r="BR9" s="525" t="s">
        <v>84</v>
      </c>
      <c r="BS9" s="523" t="s">
        <v>84</v>
      </c>
      <c r="BT9" s="524" t="s">
        <v>84</v>
      </c>
      <c r="BU9" s="525" t="s">
        <v>84</v>
      </c>
      <c r="BV9" s="523" t="s">
        <v>84</v>
      </c>
      <c r="BW9" s="524" t="s">
        <v>84</v>
      </c>
      <c r="BX9" s="525" t="s">
        <v>84</v>
      </c>
      <c r="BY9" s="523" t="s">
        <v>84</v>
      </c>
      <c r="BZ9" s="524" t="s">
        <v>84</v>
      </c>
      <c r="CA9" s="525" t="s">
        <v>84</v>
      </c>
    </row>
    <row r="10" spans="1:83" ht="14.25" customHeight="1" x14ac:dyDescent="0.2">
      <c r="A10" s="2242"/>
      <c r="B10" s="2243"/>
      <c r="C10" s="2247"/>
      <c r="D10" s="2249" t="s">
        <v>14</v>
      </c>
      <c r="E10" s="2250"/>
      <c r="F10" s="2356" t="s">
        <v>33</v>
      </c>
      <c r="G10" s="2357"/>
      <c r="H10" s="981"/>
      <c r="I10" s="924">
        <v>115</v>
      </c>
      <c r="J10" s="925"/>
      <c r="K10" s="981"/>
      <c r="L10" s="924">
        <v>115</v>
      </c>
      <c r="M10" s="925"/>
      <c r="N10" s="981"/>
      <c r="O10" s="924">
        <v>115</v>
      </c>
      <c r="P10" s="925"/>
      <c r="Q10" s="981"/>
      <c r="R10" s="924">
        <v>115</v>
      </c>
      <c r="S10" s="925"/>
      <c r="T10" s="981"/>
      <c r="U10" s="924">
        <v>115</v>
      </c>
      <c r="V10" s="925"/>
      <c r="W10" s="981"/>
      <c r="X10" s="924">
        <v>115</v>
      </c>
      <c r="Y10" s="925"/>
      <c r="Z10" s="981"/>
      <c r="AA10" s="924">
        <v>115</v>
      </c>
      <c r="AB10" s="925"/>
      <c r="AC10" s="981"/>
      <c r="AD10" s="924">
        <v>115</v>
      </c>
      <c r="AE10" s="925"/>
      <c r="AF10" s="981"/>
      <c r="AG10" s="924">
        <v>115</v>
      </c>
      <c r="AH10" s="925"/>
      <c r="AI10" s="981"/>
      <c r="AJ10" s="924">
        <v>115</v>
      </c>
      <c r="AK10" s="925"/>
      <c r="AL10" s="981"/>
      <c r="AM10" s="924">
        <v>115</v>
      </c>
      <c r="AN10" s="925"/>
      <c r="AO10" s="981"/>
      <c r="AP10" s="924">
        <v>115</v>
      </c>
      <c r="AQ10" s="925"/>
      <c r="AR10" s="981"/>
      <c r="AS10" s="924">
        <v>115</v>
      </c>
      <c r="AT10" s="925"/>
      <c r="AU10" s="981"/>
      <c r="AV10" s="924">
        <v>115</v>
      </c>
      <c r="AW10" s="925"/>
      <c r="AX10" s="981"/>
      <c r="AY10" s="924">
        <v>115</v>
      </c>
      <c r="AZ10" s="925"/>
      <c r="BA10" s="981"/>
      <c r="BB10" s="924">
        <v>115</v>
      </c>
      <c r="BC10" s="925"/>
      <c r="BD10" s="981"/>
      <c r="BE10" s="924">
        <v>115</v>
      </c>
      <c r="BF10" s="925"/>
      <c r="BG10" s="981"/>
      <c r="BH10" s="924">
        <v>115</v>
      </c>
      <c r="BI10" s="925"/>
      <c r="BJ10" s="981"/>
      <c r="BK10" s="924">
        <v>115</v>
      </c>
      <c r="BL10" s="925"/>
      <c r="BM10" s="981"/>
      <c r="BN10" s="924">
        <v>115</v>
      </c>
      <c r="BO10" s="925"/>
      <c r="BP10" s="981"/>
      <c r="BQ10" s="924">
        <v>115</v>
      </c>
      <c r="BR10" s="925"/>
      <c r="BS10" s="981"/>
      <c r="BT10" s="924">
        <v>115</v>
      </c>
      <c r="BU10" s="925"/>
      <c r="BV10" s="981"/>
      <c r="BW10" s="924">
        <v>115</v>
      </c>
      <c r="BX10" s="925"/>
      <c r="BY10" s="981"/>
      <c r="BZ10" s="924">
        <v>115</v>
      </c>
      <c r="CA10" s="925"/>
      <c r="CB10" s="982"/>
      <c r="CC10" s="530"/>
    </row>
    <row r="11" spans="1:83" ht="14.25" customHeight="1" x14ac:dyDescent="0.2">
      <c r="A11" s="2242"/>
      <c r="B11" s="2243"/>
      <c r="C11" s="2247"/>
      <c r="D11" s="2251"/>
      <c r="E11" s="2252"/>
      <c r="F11" s="2358" t="s">
        <v>34</v>
      </c>
      <c r="G11" s="2359"/>
      <c r="H11" s="926"/>
      <c r="I11" s="983">
        <v>10</v>
      </c>
      <c r="J11" s="928"/>
      <c r="K11" s="926"/>
      <c r="L11" s="983">
        <v>10</v>
      </c>
      <c r="M11" s="928"/>
      <c r="N11" s="926"/>
      <c r="O11" s="983">
        <v>10</v>
      </c>
      <c r="P11" s="928"/>
      <c r="Q11" s="926"/>
      <c r="R11" s="983">
        <v>10</v>
      </c>
      <c r="S11" s="928"/>
      <c r="T11" s="926"/>
      <c r="U11" s="983">
        <v>10</v>
      </c>
      <c r="V11" s="928"/>
      <c r="W11" s="926"/>
      <c r="X11" s="983">
        <v>10</v>
      </c>
      <c r="Y11" s="928"/>
      <c r="Z11" s="926"/>
      <c r="AA11" s="983">
        <v>10</v>
      </c>
      <c r="AB11" s="928"/>
      <c r="AC11" s="926"/>
      <c r="AD11" s="983">
        <v>10</v>
      </c>
      <c r="AE11" s="928"/>
      <c r="AF11" s="926"/>
      <c r="AG11" s="983">
        <v>10</v>
      </c>
      <c r="AH11" s="928"/>
      <c r="AI11" s="926"/>
      <c r="AJ11" s="983">
        <v>10</v>
      </c>
      <c r="AK11" s="928"/>
      <c r="AL11" s="926"/>
      <c r="AM11" s="983">
        <v>10</v>
      </c>
      <c r="AN11" s="928"/>
      <c r="AO11" s="926"/>
      <c r="AP11" s="983">
        <v>10</v>
      </c>
      <c r="AQ11" s="928"/>
      <c r="AR11" s="926"/>
      <c r="AS11" s="983">
        <v>10</v>
      </c>
      <c r="AT11" s="928"/>
      <c r="AU11" s="926"/>
      <c r="AV11" s="983">
        <v>10</v>
      </c>
      <c r="AW11" s="928"/>
      <c r="AX11" s="926"/>
      <c r="AY11" s="983">
        <v>10</v>
      </c>
      <c r="AZ11" s="928"/>
      <c r="BA11" s="926"/>
      <c r="BB11" s="983">
        <v>10</v>
      </c>
      <c r="BC11" s="928"/>
      <c r="BD11" s="926"/>
      <c r="BE11" s="983">
        <v>10</v>
      </c>
      <c r="BF11" s="928"/>
      <c r="BG11" s="926"/>
      <c r="BH11" s="983">
        <v>10</v>
      </c>
      <c r="BI11" s="928"/>
      <c r="BJ11" s="926"/>
      <c r="BK11" s="983">
        <v>10</v>
      </c>
      <c r="BL11" s="928"/>
      <c r="BM11" s="926"/>
      <c r="BN11" s="983">
        <v>10</v>
      </c>
      <c r="BO11" s="928"/>
      <c r="BP11" s="926"/>
      <c r="BQ11" s="983">
        <v>10</v>
      </c>
      <c r="BR11" s="928"/>
      <c r="BS11" s="926"/>
      <c r="BT11" s="983">
        <v>10</v>
      </c>
      <c r="BU11" s="928"/>
      <c r="BV11" s="926"/>
      <c r="BW11" s="983">
        <v>10</v>
      </c>
      <c r="BX11" s="928"/>
      <c r="BY11" s="926"/>
      <c r="BZ11" s="983">
        <v>10</v>
      </c>
      <c r="CA11" s="928"/>
      <c r="CB11" s="982"/>
      <c r="CC11" s="530"/>
    </row>
    <row r="12" spans="1:83" ht="14.25" customHeight="1" thickBot="1" x14ac:dyDescent="0.25">
      <c r="A12" s="2242"/>
      <c r="B12" s="2243"/>
      <c r="C12" s="2247"/>
      <c r="D12" s="2253"/>
      <c r="E12" s="2254"/>
      <c r="F12" s="2259"/>
      <c r="G12" s="2260"/>
      <c r="H12" s="811"/>
      <c r="I12" s="522" t="s">
        <v>84</v>
      </c>
      <c r="J12" s="984"/>
      <c r="K12" s="811"/>
      <c r="L12" s="522" t="s">
        <v>84</v>
      </c>
      <c r="M12" s="984"/>
      <c r="N12" s="811"/>
      <c r="O12" s="522" t="s">
        <v>84</v>
      </c>
      <c r="P12" s="984"/>
      <c r="Q12" s="811"/>
      <c r="R12" s="522" t="s">
        <v>84</v>
      </c>
      <c r="S12" s="984"/>
      <c r="T12" s="811"/>
      <c r="U12" s="522" t="s">
        <v>84</v>
      </c>
      <c r="V12" s="984"/>
      <c r="W12" s="811"/>
      <c r="X12" s="522" t="s">
        <v>84</v>
      </c>
      <c r="Y12" s="984"/>
      <c r="Z12" s="811"/>
      <c r="AA12" s="522" t="s">
        <v>84</v>
      </c>
      <c r="AB12" s="984"/>
      <c r="AC12" s="811"/>
      <c r="AD12" s="522" t="s">
        <v>84</v>
      </c>
      <c r="AE12" s="984"/>
      <c r="AF12" s="811"/>
      <c r="AG12" s="522" t="s">
        <v>84</v>
      </c>
      <c r="AH12" s="984"/>
      <c r="AI12" s="811"/>
      <c r="AJ12" s="522" t="s">
        <v>84</v>
      </c>
      <c r="AK12" s="984"/>
      <c r="AL12" s="811"/>
      <c r="AM12" s="522" t="s">
        <v>84</v>
      </c>
      <c r="AN12" s="984"/>
      <c r="AO12" s="811"/>
      <c r="AP12" s="522" t="s">
        <v>84</v>
      </c>
      <c r="AQ12" s="984"/>
      <c r="AR12" s="811"/>
      <c r="AS12" s="522" t="s">
        <v>84</v>
      </c>
      <c r="AT12" s="984"/>
      <c r="AU12" s="811"/>
      <c r="AV12" s="522" t="s">
        <v>84</v>
      </c>
      <c r="AW12" s="984"/>
      <c r="AX12" s="811"/>
      <c r="AY12" s="522" t="s">
        <v>84</v>
      </c>
      <c r="AZ12" s="984"/>
      <c r="BA12" s="811"/>
      <c r="BB12" s="522" t="s">
        <v>84</v>
      </c>
      <c r="BC12" s="984"/>
      <c r="BD12" s="811"/>
      <c r="BE12" s="522" t="s">
        <v>84</v>
      </c>
      <c r="BF12" s="984"/>
      <c r="BG12" s="811"/>
      <c r="BH12" s="522" t="s">
        <v>84</v>
      </c>
      <c r="BI12" s="984"/>
      <c r="BJ12" s="811"/>
      <c r="BK12" s="522" t="s">
        <v>84</v>
      </c>
      <c r="BL12" s="984"/>
      <c r="BM12" s="811"/>
      <c r="BN12" s="522" t="s">
        <v>84</v>
      </c>
      <c r="BO12" s="984"/>
      <c r="BP12" s="811"/>
      <c r="BQ12" s="522" t="s">
        <v>84</v>
      </c>
      <c r="BR12" s="984"/>
      <c r="BS12" s="811"/>
      <c r="BT12" s="522" t="s">
        <v>84</v>
      </c>
      <c r="BU12" s="984"/>
      <c r="BV12" s="811"/>
      <c r="BW12" s="522" t="s">
        <v>84</v>
      </c>
      <c r="BX12" s="984"/>
      <c r="BY12" s="811"/>
      <c r="BZ12" s="522" t="s">
        <v>84</v>
      </c>
      <c r="CA12" s="984"/>
      <c r="CB12" s="982"/>
      <c r="CC12" s="530"/>
    </row>
    <row r="13" spans="1:83" ht="13.5" thickBot="1" x14ac:dyDescent="0.25">
      <c r="A13" s="2244"/>
      <c r="B13" s="2245"/>
      <c r="C13" s="2248"/>
      <c r="D13" s="2261" t="s">
        <v>39</v>
      </c>
      <c r="E13" s="2262"/>
      <c r="F13" s="2262"/>
      <c r="G13" s="2263"/>
      <c r="H13" s="812"/>
      <c r="I13" s="813">
        <v>6</v>
      </c>
      <c r="J13" s="814"/>
      <c r="K13" s="812"/>
      <c r="L13" s="813">
        <v>6</v>
      </c>
      <c r="M13" s="814"/>
      <c r="N13" s="812"/>
      <c r="O13" s="813">
        <v>6</v>
      </c>
      <c r="P13" s="814"/>
      <c r="Q13" s="812"/>
      <c r="R13" s="813">
        <v>6</v>
      </c>
      <c r="S13" s="814"/>
      <c r="T13" s="812"/>
      <c r="U13" s="813">
        <v>6</v>
      </c>
      <c r="V13" s="814"/>
      <c r="W13" s="812"/>
      <c r="X13" s="813">
        <v>6</v>
      </c>
      <c r="Y13" s="814"/>
      <c r="Z13" s="812"/>
      <c r="AA13" s="813">
        <v>6</v>
      </c>
      <c r="AB13" s="814"/>
      <c r="AC13" s="812"/>
      <c r="AD13" s="813">
        <v>6</v>
      </c>
      <c r="AE13" s="814"/>
      <c r="AF13" s="812"/>
      <c r="AG13" s="813">
        <v>6</v>
      </c>
      <c r="AH13" s="814"/>
      <c r="AI13" s="812"/>
      <c r="AJ13" s="813">
        <v>6</v>
      </c>
      <c r="AK13" s="814"/>
      <c r="AL13" s="812"/>
      <c r="AM13" s="813">
        <v>6</v>
      </c>
      <c r="AN13" s="814"/>
      <c r="AO13" s="812"/>
      <c r="AP13" s="813">
        <v>6</v>
      </c>
      <c r="AQ13" s="814"/>
      <c r="AR13" s="812"/>
      <c r="AS13" s="813">
        <v>6</v>
      </c>
      <c r="AT13" s="814"/>
      <c r="AU13" s="812"/>
      <c r="AV13" s="813">
        <v>6</v>
      </c>
      <c r="AW13" s="814"/>
      <c r="AX13" s="812"/>
      <c r="AY13" s="813">
        <v>6</v>
      </c>
      <c r="AZ13" s="814"/>
      <c r="BA13" s="812"/>
      <c r="BB13" s="813">
        <v>6</v>
      </c>
      <c r="BC13" s="814"/>
      <c r="BD13" s="812"/>
      <c r="BE13" s="813">
        <v>6</v>
      </c>
      <c r="BF13" s="814"/>
      <c r="BG13" s="812"/>
      <c r="BH13" s="813">
        <v>6</v>
      </c>
      <c r="BI13" s="814"/>
      <c r="BJ13" s="812"/>
      <c r="BK13" s="813">
        <v>6</v>
      </c>
      <c r="BL13" s="814"/>
      <c r="BM13" s="812"/>
      <c r="BN13" s="813">
        <v>6</v>
      </c>
      <c r="BO13" s="814"/>
      <c r="BP13" s="812"/>
      <c r="BQ13" s="813">
        <v>6</v>
      </c>
      <c r="BR13" s="814"/>
      <c r="BS13" s="812"/>
      <c r="BT13" s="813">
        <v>6</v>
      </c>
      <c r="BU13" s="814"/>
      <c r="BV13" s="812"/>
      <c r="BW13" s="813">
        <v>6</v>
      </c>
      <c r="BX13" s="814"/>
      <c r="BY13" s="812"/>
      <c r="BZ13" s="813">
        <v>6</v>
      </c>
      <c r="CA13" s="814"/>
      <c r="CB13" s="982"/>
      <c r="CC13" s="530"/>
    </row>
    <row r="14" spans="1:83" x14ac:dyDescent="0.2">
      <c r="A14" s="2249" t="s">
        <v>1</v>
      </c>
      <c r="B14" s="2250"/>
      <c r="C14" s="2246">
        <v>6.3</v>
      </c>
      <c r="D14" s="2249" t="s">
        <v>13</v>
      </c>
      <c r="E14" s="2250"/>
      <c r="F14" s="2255" t="s">
        <v>33</v>
      </c>
      <c r="G14" s="2256"/>
      <c r="H14" s="919" t="s">
        <v>84</v>
      </c>
      <c r="I14" s="920" t="s">
        <v>84</v>
      </c>
      <c r="J14" s="921" t="s">
        <v>84</v>
      </c>
      <c r="K14" s="919" t="s">
        <v>84</v>
      </c>
      <c r="L14" s="920" t="s">
        <v>84</v>
      </c>
      <c r="M14" s="921" t="s">
        <v>84</v>
      </c>
      <c r="N14" s="919" t="s">
        <v>84</v>
      </c>
      <c r="O14" s="920" t="s">
        <v>84</v>
      </c>
      <c r="P14" s="921" t="s">
        <v>84</v>
      </c>
      <c r="Q14" s="919" t="s">
        <v>84</v>
      </c>
      <c r="R14" s="920" t="s">
        <v>84</v>
      </c>
      <c r="S14" s="921" t="s">
        <v>84</v>
      </c>
      <c r="T14" s="919" t="s">
        <v>84</v>
      </c>
      <c r="U14" s="920" t="s">
        <v>84</v>
      </c>
      <c r="V14" s="921" t="s">
        <v>84</v>
      </c>
      <c r="W14" s="919" t="s">
        <v>84</v>
      </c>
      <c r="X14" s="920" t="s">
        <v>84</v>
      </c>
      <c r="Y14" s="921" t="s">
        <v>84</v>
      </c>
      <c r="Z14" s="919" t="s">
        <v>84</v>
      </c>
      <c r="AA14" s="920" t="s">
        <v>84</v>
      </c>
      <c r="AB14" s="921" t="s">
        <v>84</v>
      </c>
      <c r="AC14" s="919" t="s">
        <v>84</v>
      </c>
      <c r="AD14" s="920" t="s">
        <v>84</v>
      </c>
      <c r="AE14" s="921" t="s">
        <v>84</v>
      </c>
      <c r="AF14" s="919" t="s">
        <v>84</v>
      </c>
      <c r="AG14" s="920" t="s">
        <v>84</v>
      </c>
      <c r="AH14" s="921" t="s">
        <v>84</v>
      </c>
      <c r="AI14" s="919" t="s">
        <v>84</v>
      </c>
      <c r="AJ14" s="920" t="s">
        <v>84</v>
      </c>
      <c r="AK14" s="921" t="s">
        <v>84</v>
      </c>
      <c r="AL14" s="919" t="s">
        <v>84</v>
      </c>
      <c r="AM14" s="920" t="s">
        <v>84</v>
      </c>
      <c r="AN14" s="921" t="s">
        <v>84</v>
      </c>
      <c r="AO14" s="919" t="s">
        <v>84</v>
      </c>
      <c r="AP14" s="920" t="s">
        <v>84</v>
      </c>
      <c r="AQ14" s="921" t="s">
        <v>84</v>
      </c>
      <c r="AR14" s="919" t="s">
        <v>84</v>
      </c>
      <c r="AS14" s="920" t="s">
        <v>84</v>
      </c>
      <c r="AT14" s="921" t="s">
        <v>84</v>
      </c>
      <c r="AU14" s="919" t="s">
        <v>84</v>
      </c>
      <c r="AV14" s="920" t="s">
        <v>84</v>
      </c>
      <c r="AW14" s="921" t="s">
        <v>84</v>
      </c>
      <c r="AX14" s="919" t="s">
        <v>84</v>
      </c>
      <c r="AY14" s="920" t="s">
        <v>84</v>
      </c>
      <c r="AZ14" s="921" t="s">
        <v>84</v>
      </c>
      <c r="BA14" s="919" t="s">
        <v>84</v>
      </c>
      <c r="BB14" s="920" t="s">
        <v>84</v>
      </c>
      <c r="BC14" s="921" t="s">
        <v>84</v>
      </c>
      <c r="BD14" s="919" t="s">
        <v>84</v>
      </c>
      <c r="BE14" s="920" t="s">
        <v>84</v>
      </c>
      <c r="BF14" s="921" t="s">
        <v>84</v>
      </c>
      <c r="BG14" s="919" t="s">
        <v>84</v>
      </c>
      <c r="BH14" s="920" t="s">
        <v>84</v>
      </c>
      <c r="BI14" s="921" t="s">
        <v>84</v>
      </c>
      <c r="BJ14" s="919" t="s">
        <v>84</v>
      </c>
      <c r="BK14" s="920" t="s">
        <v>84</v>
      </c>
      <c r="BL14" s="921" t="s">
        <v>84</v>
      </c>
      <c r="BM14" s="919" t="s">
        <v>84</v>
      </c>
      <c r="BN14" s="920" t="s">
        <v>84</v>
      </c>
      <c r="BO14" s="921" t="s">
        <v>84</v>
      </c>
      <c r="BP14" s="919" t="s">
        <v>84</v>
      </c>
      <c r="BQ14" s="920" t="s">
        <v>84</v>
      </c>
      <c r="BR14" s="921" t="s">
        <v>84</v>
      </c>
      <c r="BS14" s="919" t="s">
        <v>84</v>
      </c>
      <c r="BT14" s="920" t="s">
        <v>84</v>
      </c>
      <c r="BU14" s="921" t="s">
        <v>84</v>
      </c>
      <c r="BV14" s="919" t="s">
        <v>84</v>
      </c>
      <c r="BW14" s="920" t="s">
        <v>84</v>
      </c>
      <c r="BX14" s="921" t="s">
        <v>84</v>
      </c>
      <c r="BY14" s="919" t="s">
        <v>84</v>
      </c>
      <c r="BZ14" s="920" t="s">
        <v>84</v>
      </c>
      <c r="CA14" s="921" t="s">
        <v>84</v>
      </c>
      <c r="CB14" s="982"/>
      <c r="CC14" s="530"/>
    </row>
    <row r="15" spans="1:83" x14ac:dyDescent="0.2">
      <c r="A15" s="2251"/>
      <c r="B15" s="2252"/>
      <c r="C15" s="2247"/>
      <c r="D15" s="2251"/>
      <c r="E15" s="2252"/>
      <c r="F15" s="2257" t="s">
        <v>34</v>
      </c>
      <c r="G15" s="2258"/>
      <c r="H15" s="518">
        <f>ROUND(SQRT(I15^2+J15^2)*1000/(SQRT(3)*I18),2)</f>
        <v>81.14</v>
      </c>
      <c r="I15" s="815">
        <f>I40+I23</f>
        <v>1.3702559999999999</v>
      </c>
      <c r="J15" s="815">
        <f>J40+J23</f>
        <v>0.31195200000000001</v>
      </c>
      <c r="K15" s="518">
        <f>ROUND(SQRT(L15^2+M15^2)*1000/(SQRT(3)*L18),2)</f>
        <v>75.63</v>
      </c>
      <c r="L15" s="815">
        <f>L40+L23</f>
        <v>1.2751519999999998</v>
      </c>
      <c r="M15" s="815">
        <f>M40+M23</f>
        <v>0.29963200000000001</v>
      </c>
      <c r="N15" s="518">
        <f>ROUND(SQRT(O15^2+P15^2)*1000/(SQRT(3)*O18),2)</f>
        <v>77.31</v>
      </c>
      <c r="O15" s="815">
        <f>O40+O23</f>
        <v>1.303088</v>
      </c>
      <c r="P15" s="815">
        <f>P40+P23</f>
        <v>0.30812800000000001</v>
      </c>
      <c r="Q15" s="518">
        <f>ROUND(SQRT(R15^2+S15^2)*1000/(SQRT(3)*R18),2)</f>
        <v>74.06</v>
      </c>
      <c r="R15" s="815">
        <f>R40+R23</f>
        <v>1.247552</v>
      </c>
      <c r="S15" s="815">
        <f>S40+S23</f>
        <v>0.29825600000000002</v>
      </c>
      <c r="T15" s="518">
        <f>ROUND(SQRT(U15^2+V15^2)*1000/(SQRT(3)*U18),2)</f>
        <v>76</v>
      </c>
      <c r="U15" s="815">
        <f>U40+U23</f>
        <v>1.2815200000000002</v>
      </c>
      <c r="V15" s="815">
        <f>V40+V23</f>
        <v>0.30097600000000002</v>
      </c>
      <c r="W15" s="518">
        <f>ROUND(SQRT(X15^2+Y15^2)*1000/(SQRT(3)*X18),2)</f>
        <v>76.69</v>
      </c>
      <c r="X15" s="815">
        <f>X40+X23</f>
        <v>1.29512</v>
      </c>
      <c r="Y15" s="815">
        <f>Y40+Y23</f>
        <v>0.29537600000000008</v>
      </c>
      <c r="Z15" s="518">
        <f>ROUND(SQRT(AA15^2+AB15^2)*1000/(SQRT(3)*AA18),2)</f>
        <v>82.59</v>
      </c>
      <c r="AA15" s="815">
        <f>AA40+AA23</f>
        <v>1.3995519999999999</v>
      </c>
      <c r="AB15" s="815">
        <f>AB40+AB23</f>
        <v>0.29619200000000007</v>
      </c>
      <c r="AC15" s="518">
        <f>ROUND(SQRT(AD15^2+AE15^2)*1000/(SQRT(3)*AD18),2)</f>
        <v>89.81</v>
      </c>
      <c r="AD15" s="815">
        <f>AD40+AD23</f>
        <v>1.527088</v>
      </c>
      <c r="AE15" s="815">
        <f>AE40+AE23</f>
        <v>0.29588799999999998</v>
      </c>
      <c r="AF15" s="518">
        <f>ROUND(SQRT(AG15^2+AH15^2)*1000/(SQRT(3)*AG18),2)</f>
        <v>89.96</v>
      </c>
      <c r="AG15" s="815">
        <f>AG40+AG23</f>
        <v>1.532384</v>
      </c>
      <c r="AH15" s="815">
        <f>AH40+AH23</f>
        <v>0.28212800000000005</v>
      </c>
      <c r="AI15" s="518">
        <f>ROUND(SQRT(AJ15^2+AK15^2)*1000/(SQRT(3)*AJ18),2)</f>
        <v>88.61</v>
      </c>
      <c r="AJ15" s="815">
        <f>AJ40+AJ23</f>
        <v>1.5074240000000001</v>
      </c>
      <c r="AK15" s="815">
        <f>AK40+AK23</f>
        <v>0.28814400000000001</v>
      </c>
      <c r="AL15" s="518">
        <f>ROUND(SQRT(AM15^2+AN15^2)*1000/(SQRT(3)*AM18),2)</f>
        <v>86.23</v>
      </c>
      <c r="AM15" s="815">
        <f>AM40+AM23</f>
        <v>1.4651839999999998</v>
      </c>
      <c r="AN15" s="815">
        <f>AN40+AN23</f>
        <v>0.28976000000000007</v>
      </c>
      <c r="AO15" s="518">
        <f>ROUND(SQRT(AP15^2+AQ15^2)*1000/(SQRT(3)*AP18),2)</f>
        <v>85.81</v>
      </c>
      <c r="AP15" s="815">
        <f>AP40+AP23</f>
        <v>1.4566240000000001</v>
      </c>
      <c r="AQ15" s="815">
        <f>AQ40+AQ23</f>
        <v>0.29513600000000001</v>
      </c>
      <c r="AR15" s="518">
        <f>ROUND(SQRT(AS15^2+AT15^2)*1000/(SQRT(3)*AS18),2)</f>
        <v>86.45</v>
      </c>
      <c r="AS15" s="815">
        <f>AS40+AS23</f>
        <v>1.467584</v>
      </c>
      <c r="AT15" s="815">
        <f>AT40+AT23</f>
        <v>0.29739200000000005</v>
      </c>
      <c r="AU15" s="518">
        <f>ROUND(SQRT(AV15^2+AW15^2)*1000/(SQRT(3)*AV18),2)</f>
        <v>84.4</v>
      </c>
      <c r="AV15" s="815">
        <f>AV40+AV23</f>
        <v>1.4315200000000001</v>
      </c>
      <c r="AW15" s="815">
        <f>AW40+AW23</f>
        <v>0.29617600000000005</v>
      </c>
      <c r="AX15" s="518">
        <f>ROUND(SQRT(AY15^2+AZ15^2)*1000/(SQRT(3)*AY18),2)</f>
        <v>84.89</v>
      </c>
      <c r="AY15" s="815">
        <f>AY40+AY23</f>
        <v>1.44072</v>
      </c>
      <c r="AZ15" s="815">
        <f>AZ40+AZ23</f>
        <v>0.29387200000000002</v>
      </c>
      <c r="BA15" s="518">
        <f>ROUND(SQRT(BB15^2+BC15^2)*1000/(SQRT(3)*BB18),2)</f>
        <v>85.57</v>
      </c>
      <c r="BB15" s="815">
        <f>BB40+BB23</f>
        <v>1.4547840000000001</v>
      </c>
      <c r="BC15" s="815">
        <f>BC40+BC23</f>
        <v>0.28302400000000005</v>
      </c>
      <c r="BD15" s="518">
        <f>ROUND(SQRT(BE15^2+BF15^2)*1000/(SQRT(3)*BE18),2)</f>
        <v>86.08</v>
      </c>
      <c r="BE15" s="815">
        <f>BE40+BE23</f>
        <v>1.4650559999999999</v>
      </c>
      <c r="BF15" s="815">
        <f>BF40+BF23</f>
        <v>0.27704000000000001</v>
      </c>
      <c r="BG15" s="518">
        <f>ROUND(SQRT(BH15^2+BI15^2)*1000/(SQRT(3)*BH18),2)</f>
        <v>89.86</v>
      </c>
      <c r="BH15" s="815">
        <f>BH40+BH23</f>
        <v>1.5287839999999999</v>
      </c>
      <c r="BI15" s="815">
        <f>BI40+BI23</f>
        <v>0.29188799999999998</v>
      </c>
      <c r="BJ15" s="518">
        <f>ROUND(SQRT(BK15^2+BL15^2)*1000/(SQRT(3)*BK18),2)</f>
        <v>93.34</v>
      </c>
      <c r="BK15" s="815">
        <f>BK40+BK23</f>
        <v>1.5898239999999999</v>
      </c>
      <c r="BL15" s="815">
        <f>BL40+BL23</f>
        <v>0.29361599999999999</v>
      </c>
      <c r="BM15" s="518">
        <f>ROUND(SQRT(BN15^2+BO15^2)*1000/(SQRT(3)*BN18),2)</f>
        <v>90.06</v>
      </c>
      <c r="BN15" s="815">
        <f>BN40+BN23</f>
        <v>1.532384</v>
      </c>
      <c r="BO15" s="815">
        <f>BO40+BO23</f>
        <v>0.29166400000000009</v>
      </c>
      <c r="BP15" s="518">
        <f>ROUND(SQRT(BQ15^2+BR15^2)*1000/(SQRT(3)*BQ18),2)</f>
        <v>90.73</v>
      </c>
      <c r="BQ15" s="815">
        <f>BQ40+BQ23</f>
        <v>1.5439519999999998</v>
      </c>
      <c r="BR15" s="815">
        <f>BR40+BR23</f>
        <v>0.29286400000000001</v>
      </c>
      <c r="BS15" s="518">
        <f>ROUND(SQRT(BT15^2+BU15^2)*1000/(SQRT(3)*BT18),2)</f>
        <v>89.82</v>
      </c>
      <c r="BT15" s="815">
        <f>BT40+BT23</f>
        <v>1.5278560000000001</v>
      </c>
      <c r="BU15" s="815">
        <f>BU40+BU23</f>
        <v>0.29358400000000001</v>
      </c>
      <c r="BV15" s="518">
        <f>ROUND(SQRT(BW15^2+BX15^2)*1000/(SQRT(3)*BW18),2)</f>
        <v>86.88</v>
      </c>
      <c r="BW15" s="815">
        <f>BW40+BW23</f>
        <v>1.473584</v>
      </c>
      <c r="BX15" s="815">
        <f>BX40+BX23</f>
        <v>0.30512</v>
      </c>
      <c r="BY15" s="518">
        <f>ROUND(SQRT(BZ15^2+CA15^2)*1000/(SQRT(3)*BZ18),2)</f>
        <v>80.34</v>
      </c>
      <c r="BZ15" s="815">
        <f>BZ40+BZ23</f>
        <v>1.3586560000000001</v>
      </c>
      <c r="CA15" s="815">
        <f>CA40+CA23</f>
        <v>0.300736</v>
      </c>
      <c r="CB15" s="982"/>
      <c r="CC15" s="530"/>
      <c r="CE15" s="517"/>
    </row>
    <row r="16" spans="1:83" ht="13.5" thickBot="1" x14ac:dyDescent="0.25">
      <c r="A16" s="2251"/>
      <c r="B16" s="2252"/>
      <c r="C16" s="2247"/>
      <c r="D16" s="2253"/>
      <c r="E16" s="2254"/>
      <c r="F16" s="2259"/>
      <c r="G16" s="2260"/>
      <c r="H16" s="523" t="s">
        <v>84</v>
      </c>
      <c r="I16" s="524" t="s">
        <v>84</v>
      </c>
      <c r="J16" s="525" t="s">
        <v>84</v>
      </c>
      <c r="K16" s="523" t="s">
        <v>84</v>
      </c>
      <c r="L16" s="524" t="s">
        <v>84</v>
      </c>
      <c r="M16" s="525" t="s">
        <v>84</v>
      </c>
      <c r="N16" s="523" t="s">
        <v>84</v>
      </c>
      <c r="O16" s="524" t="s">
        <v>84</v>
      </c>
      <c r="P16" s="525" t="s">
        <v>84</v>
      </c>
      <c r="Q16" s="523" t="s">
        <v>84</v>
      </c>
      <c r="R16" s="524" t="s">
        <v>84</v>
      </c>
      <c r="S16" s="525" t="s">
        <v>84</v>
      </c>
      <c r="T16" s="523" t="s">
        <v>84</v>
      </c>
      <c r="U16" s="524" t="s">
        <v>84</v>
      </c>
      <c r="V16" s="525" t="s">
        <v>84</v>
      </c>
      <c r="W16" s="523" t="s">
        <v>84</v>
      </c>
      <c r="X16" s="524" t="s">
        <v>84</v>
      </c>
      <c r="Y16" s="525" t="s">
        <v>84</v>
      </c>
      <c r="Z16" s="523" t="s">
        <v>84</v>
      </c>
      <c r="AA16" s="524" t="s">
        <v>84</v>
      </c>
      <c r="AB16" s="525" t="s">
        <v>84</v>
      </c>
      <c r="AC16" s="523" t="s">
        <v>84</v>
      </c>
      <c r="AD16" s="524" t="s">
        <v>84</v>
      </c>
      <c r="AE16" s="525" t="s">
        <v>84</v>
      </c>
      <c r="AF16" s="523" t="s">
        <v>84</v>
      </c>
      <c r="AG16" s="524" t="s">
        <v>84</v>
      </c>
      <c r="AH16" s="525" t="s">
        <v>84</v>
      </c>
      <c r="AI16" s="523" t="s">
        <v>84</v>
      </c>
      <c r="AJ16" s="524" t="s">
        <v>84</v>
      </c>
      <c r="AK16" s="525" t="s">
        <v>84</v>
      </c>
      <c r="AL16" s="523" t="s">
        <v>84</v>
      </c>
      <c r="AM16" s="524" t="s">
        <v>84</v>
      </c>
      <c r="AN16" s="525" t="s">
        <v>84</v>
      </c>
      <c r="AO16" s="523" t="s">
        <v>84</v>
      </c>
      <c r="AP16" s="524" t="s">
        <v>84</v>
      </c>
      <c r="AQ16" s="525" t="s">
        <v>84</v>
      </c>
      <c r="AR16" s="523" t="s">
        <v>84</v>
      </c>
      <c r="AS16" s="524" t="s">
        <v>84</v>
      </c>
      <c r="AT16" s="525" t="s">
        <v>84</v>
      </c>
      <c r="AU16" s="523" t="s">
        <v>84</v>
      </c>
      <c r="AV16" s="524" t="s">
        <v>84</v>
      </c>
      <c r="AW16" s="525" t="s">
        <v>84</v>
      </c>
      <c r="AX16" s="523" t="s">
        <v>84</v>
      </c>
      <c r="AY16" s="524" t="s">
        <v>84</v>
      </c>
      <c r="AZ16" s="525" t="s">
        <v>84</v>
      </c>
      <c r="BA16" s="523" t="s">
        <v>84</v>
      </c>
      <c r="BB16" s="524" t="s">
        <v>84</v>
      </c>
      <c r="BC16" s="525" t="s">
        <v>84</v>
      </c>
      <c r="BD16" s="523" t="s">
        <v>84</v>
      </c>
      <c r="BE16" s="524" t="s">
        <v>84</v>
      </c>
      <c r="BF16" s="525" t="s">
        <v>84</v>
      </c>
      <c r="BG16" s="523" t="s">
        <v>84</v>
      </c>
      <c r="BH16" s="524" t="s">
        <v>84</v>
      </c>
      <c r="BI16" s="525" t="s">
        <v>84</v>
      </c>
      <c r="BJ16" s="523" t="s">
        <v>84</v>
      </c>
      <c r="BK16" s="524" t="s">
        <v>84</v>
      </c>
      <c r="BL16" s="525" t="s">
        <v>84</v>
      </c>
      <c r="BM16" s="523" t="s">
        <v>84</v>
      </c>
      <c r="BN16" s="524" t="s">
        <v>84</v>
      </c>
      <c r="BO16" s="525" t="s">
        <v>84</v>
      </c>
      <c r="BP16" s="523" t="s">
        <v>84</v>
      </c>
      <c r="BQ16" s="524" t="s">
        <v>84</v>
      </c>
      <c r="BR16" s="525" t="s">
        <v>84</v>
      </c>
      <c r="BS16" s="523" t="s">
        <v>84</v>
      </c>
      <c r="BT16" s="524" t="s">
        <v>84</v>
      </c>
      <c r="BU16" s="525" t="s">
        <v>84</v>
      </c>
      <c r="BV16" s="523" t="s">
        <v>84</v>
      </c>
      <c r="BW16" s="524" t="s">
        <v>84</v>
      </c>
      <c r="BX16" s="525" t="s">
        <v>84</v>
      </c>
      <c r="BY16" s="523" t="s">
        <v>84</v>
      </c>
      <c r="BZ16" s="524" t="s">
        <v>84</v>
      </c>
      <c r="CA16" s="525" t="s">
        <v>84</v>
      </c>
      <c r="CB16" s="982"/>
      <c r="CC16" s="530"/>
    </row>
    <row r="17" spans="1:88" x14ac:dyDescent="0.2">
      <c r="A17" s="2251"/>
      <c r="B17" s="2252"/>
      <c r="C17" s="2247"/>
      <c r="D17" s="2249" t="s">
        <v>14</v>
      </c>
      <c r="E17" s="2250"/>
      <c r="F17" s="2255" t="s">
        <v>33</v>
      </c>
      <c r="G17" s="2256"/>
      <c r="H17" s="981"/>
      <c r="I17" s="924">
        <v>117</v>
      </c>
      <c r="J17" s="925"/>
      <c r="K17" s="981"/>
      <c r="L17" s="924">
        <v>117</v>
      </c>
      <c r="M17" s="925"/>
      <c r="N17" s="981"/>
      <c r="O17" s="924">
        <v>117</v>
      </c>
      <c r="P17" s="925"/>
      <c r="Q17" s="981"/>
      <c r="R17" s="924">
        <v>117</v>
      </c>
      <c r="S17" s="925"/>
      <c r="T17" s="981"/>
      <c r="U17" s="924">
        <v>117</v>
      </c>
      <c r="V17" s="925"/>
      <c r="W17" s="981"/>
      <c r="X17" s="924">
        <v>117</v>
      </c>
      <c r="Y17" s="925"/>
      <c r="Z17" s="981"/>
      <c r="AA17" s="924">
        <v>117</v>
      </c>
      <c r="AB17" s="925"/>
      <c r="AC17" s="981"/>
      <c r="AD17" s="924">
        <v>117</v>
      </c>
      <c r="AE17" s="925"/>
      <c r="AF17" s="981"/>
      <c r="AG17" s="924">
        <v>117</v>
      </c>
      <c r="AH17" s="925"/>
      <c r="AI17" s="981"/>
      <c r="AJ17" s="924">
        <v>117</v>
      </c>
      <c r="AK17" s="925"/>
      <c r="AL17" s="981"/>
      <c r="AM17" s="924">
        <v>117</v>
      </c>
      <c r="AN17" s="925"/>
      <c r="AO17" s="981"/>
      <c r="AP17" s="924">
        <v>117</v>
      </c>
      <c r="AQ17" s="925"/>
      <c r="AR17" s="981"/>
      <c r="AS17" s="924">
        <v>117</v>
      </c>
      <c r="AT17" s="925"/>
      <c r="AU17" s="981"/>
      <c r="AV17" s="924">
        <v>117</v>
      </c>
      <c r="AW17" s="925"/>
      <c r="AX17" s="981"/>
      <c r="AY17" s="924">
        <v>117</v>
      </c>
      <c r="AZ17" s="925"/>
      <c r="BA17" s="981"/>
      <c r="BB17" s="924">
        <v>117</v>
      </c>
      <c r="BC17" s="925"/>
      <c r="BD17" s="981"/>
      <c r="BE17" s="924">
        <v>117</v>
      </c>
      <c r="BF17" s="925"/>
      <c r="BG17" s="981"/>
      <c r="BH17" s="924">
        <v>117</v>
      </c>
      <c r="BI17" s="925"/>
      <c r="BJ17" s="981"/>
      <c r="BK17" s="924">
        <v>117</v>
      </c>
      <c r="BL17" s="925"/>
      <c r="BM17" s="981"/>
      <c r="BN17" s="924">
        <v>117</v>
      </c>
      <c r="BO17" s="925"/>
      <c r="BP17" s="981"/>
      <c r="BQ17" s="924">
        <v>117</v>
      </c>
      <c r="BR17" s="925"/>
      <c r="BS17" s="981"/>
      <c r="BT17" s="924">
        <v>117</v>
      </c>
      <c r="BU17" s="925"/>
      <c r="BV17" s="981"/>
      <c r="BW17" s="924">
        <v>117</v>
      </c>
      <c r="BX17" s="925"/>
      <c r="BY17" s="981"/>
      <c r="BZ17" s="924">
        <v>117</v>
      </c>
      <c r="CA17" s="925"/>
      <c r="CB17" s="982"/>
      <c r="CC17" s="530"/>
    </row>
    <row r="18" spans="1:88" x14ac:dyDescent="0.2">
      <c r="A18" s="2251"/>
      <c r="B18" s="2252"/>
      <c r="C18" s="2247"/>
      <c r="D18" s="2251"/>
      <c r="E18" s="2252"/>
      <c r="F18" s="2257" t="s">
        <v>34</v>
      </c>
      <c r="G18" s="2258"/>
      <c r="H18" s="926"/>
      <c r="I18" s="927">
        <v>10</v>
      </c>
      <c r="J18" s="928"/>
      <c r="K18" s="926"/>
      <c r="L18" s="927">
        <v>10</v>
      </c>
      <c r="M18" s="928"/>
      <c r="N18" s="926"/>
      <c r="O18" s="927">
        <v>10</v>
      </c>
      <c r="P18" s="928"/>
      <c r="Q18" s="926"/>
      <c r="R18" s="927">
        <v>10</v>
      </c>
      <c r="S18" s="928"/>
      <c r="T18" s="926"/>
      <c r="U18" s="927">
        <v>10</v>
      </c>
      <c r="V18" s="928"/>
      <c r="W18" s="926"/>
      <c r="X18" s="927">
        <v>10</v>
      </c>
      <c r="Y18" s="928"/>
      <c r="Z18" s="926"/>
      <c r="AA18" s="927">
        <v>10</v>
      </c>
      <c r="AB18" s="928"/>
      <c r="AC18" s="926"/>
      <c r="AD18" s="927">
        <v>10</v>
      </c>
      <c r="AE18" s="928"/>
      <c r="AF18" s="926"/>
      <c r="AG18" s="927">
        <v>10</v>
      </c>
      <c r="AH18" s="928"/>
      <c r="AI18" s="926"/>
      <c r="AJ18" s="927">
        <v>10</v>
      </c>
      <c r="AK18" s="928"/>
      <c r="AL18" s="926"/>
      <c r="AM18" s="927">
        <v>10</v>
      </c>
      <c r="AN18" s="928"/>
      <c r="AO18" s="926"/>
      <c r="AP18" s="927">
        <v>10</v>
      </c>
      <c r="AQ18" s="928"/>
      <c r="AR18" s="926"/>
      <c r="AS18" s="927">
        <v>10</v>
      </c>
      <c r="AT18" s="928"/>
      <c r="AU18" s="926"/>
      <c r="AV18" s="927">
        <v>10</v>
      </c>
      <c r="AW18" s="928"/>
      <c r="AX18" s="926"/>
      <c r="AY18" s="927">
        <v>10</v>
      </c>
      <c r="AZ18" s="928"/>
      <c r="BA18" s="926"/>
      <c r="BB18" s="927">
        <v>10</v>
      </c>
      <c r="BC18" s="928"/>
      <c r="BD18" s="926"/>
      <c r="BE18" s="927">
        <v>10</v>
      </c>
      <c r="BF18" s="928"/>
      <c r="BG18" s="926"/>
      <c r="BH18" s="927">
        <v>10</v>
      </c>
      <c r="BI18" s="928"/>
      <c r="BJ18" s="926"/>
      <c r="BK18" s="927">
        <v>10</v>
      </c>
      <c r="BL18" s="928"/>
      <c r="BM18" s="926"/>
      <c r="BN18" s="927">
        <v>10</v>
      </c>
      <c r="BO18" s="928"/>
      <c r="BP18" s="926"/>
      <c r="BQ18" s="927">
        <v>10</v>
      </c>
      <c r="BR18" s="928"/>
      <c r="BS18" s="926"/>
      <c r="BT18" s="927">
        <v>10</v>
      </c>
      <c r="BU18" s="928"/>
      <c r="BV18" s="926"/>
      <c r="BW18" s="927">
        <v>10</v>
      </c>
      <c r="BX18" s="928"/>
      <c r="BY18" s="926"/>
      <c r="BZ18" s="927">
        <v>10</v>
      </c>
      <c r="CA18" s="928"/>
      <c r="CB18" s="982"/>
      <c r="CC18" s="530"/>
    </row>
    <row r="19" spans="1:88" ht="13.5" thickBot="1" x14ac:dyDescent="0.25">
      <c r="A19" s="2251"/>
      <c r="B19" s="2252"/>
      <c r="C19" s="2247"/>
      <c r="D19" s="2253"/>
      <c r="E19" s="2254"/>
      <c r="F19" s="2259"/>
      <c r="G19" s="2260"/>
      <c r="H19" s="811"/>
      <c r="I19" s="522" t="s">
        <v>84</v>
      </c>
      <c r="J19" s="526"/>
      <c r="K19" s="811"/>
      <c r="L19" s="522" t="s">
        <v>84</v>
      </c>
      <c r="M19" s="526"/>
      <c r="N19" s="811"/>
      <c r="O19" s="522" t="s">
        <v>84</v>
      </c>
      <c r="P19" s="526"/>
      <c r="Q19" s="811"/>
      <c r="R19" s="522" t="s">
        <v>84</v>
      </c>
      <c r="S19" s="526"/>
      <c r="T19" s="811"/>
      <c r="U19" s="522" t="s">
        <v>84</v>
      </c>
      <c r="V19" s="526"/>
      <c r="W19" s="811"/>
      <c r="X19" s="522" t="s">
        <v>84</v>
      </c>
      <c r="Y19" s="526"/>
      <c r="Z19" s="811"/>
      <c r="AA19" s="522" t="s">
        <v>84</v>
      </c>
      <c r="AB19" s="526"/>
      <c r="AC19" s="811"/>
      <c r="AD19" s="522" t="s">
        <v>84</v>
      </c>
      <c r="AE19" s="526"/>
      <c r="AF19" s="811"/>
      <c r="AG19" s="522" t="s">
        <v>84</v>
      </c>
      <c r="AH19" s="526"/>
      <c r="AI19" s="811"/>
      <c r="AJ19" s="522" t="s">
        <v>84</v>
      </c>
      <c r="AK19" s="526"/>
      <c r="AL19" s="811"/>
      <c r="AM19" s="522" t="s">
        <v>84</v>
      </c>
      <c r="AN19" s="526"/>
      <c r="AO19" s="811"/>
      <c r="AP19" s="522" t="s">
        <v>84</v>
      </c>
      <c r="AQ19" s="526"/>
      <c r="AR19" s="811"/>
      <c r="AS19" s="522" t="s">
        <v>84</v>
      </c>
      <c r="AT19" s="526"/>
      <c r="AU19" s="811"/>
      <c r="AV19" s="522" t="s">
        <v>84</v>
      </c>
      <c r="AW19" s="526"/>
      <c r="AX19" s="811"/>
      <c r="AY19" s="522" t="s">
        <v>84</v>
      </c>
      <c r="AZ19" s="526"/>
      <c r="BA19" s="811"/>
      <c r="BB19" s="522" t="s">
        <v>84</v>
      </c>
      <c r="BC19" s="526"/>
      <c r="BD19" s="811"/>
      <c r="BE19" s="522" t="s">
        <v>84</v>
      </c>
      <c r="BF19" s="526"/>
      <c r="BG19" s="811"/>
      <c r="BH19" s="522" t="s">
        <v>84</v>
      </c>
      <c r="BI19" s="526"/>
      <c r="BJ19" s="811"/>
      <c r="BK19" s="522" t="s">
        <v>84</v>
      </c>
      <c r="BL19" s="526"/>
      <c r="BM19" s="811"/>
      <c r="BN19" s="522" t="s">
        <v>84</v>
      </c>
      <c r="BO19" s="526"/>
      <c r="BP19" s="811"/>
      <c r="BQ19" s="522" t="s">
        <v>84</v>
      </c>
      <c r="BR19" s="526"/>
      <c r="BS19" s="811"/>
      <c r="BT19" s="522" t="s">
        <v>84</v>
      </c>
      <c r="BU19" s="526"/>
      <c r="BV19" s="811"/>
      <c r="BW19" s="522" t="s">
        <v>84</v>
      </c>
      <c r="BX19" s="526"/>
      <c r="BY19" s="811"/>
      <c r="BZ19" s="522" t="s">
        <v>84</v>
      </c>
      <c r="CA19" s="526"/>
      <c r="CB19" s="982"/>
      <c r="CC19" s="530"/>
    </row>
    <row r="20" spans="1:88" ht="13.5" thickBot="1" x14ac:dyDescent="0.25">
      <c r="A20" s="2253"/>
      <c r="B20" s="2254"/>
      <c r="C20" s="2248"/>
      <c r="D20" s="2261" t="s">
        <v>39</v>
      </c>
      <c r="E20" s="2262"/>
      <c r="F20" s="2262"/>
      <c r="G20" s="2263"/>
      <c r="H20" s="812"/>
      <c r="I20" s="813">
        <v>6</v>
      </c>
      <c r="J20" s="814"/>
      <c r="K20" s="812"/>
      <c r="L20" s="813">
        <v>6</v>
      </c>
      <c r="M20" s="814"/>
      <c r="N20" s="812"/>
      <c r="O20" s="813">
        <v>6</v>
      </c>
      <c r="P20" s="814"/>
      <c r="Q20" s="812"/>
      <c r="R20" s="813">
        <v>6</v>
      </c>
      <c r="S20" s="814"/>
      <c r="T20" s="812"/>
      <c r="U20" s="813">
        <v>6</v>
      </c>
      <c r="V20" s="814"/>
      <c r="W20" s="812"/>
      <c r="X20" s="813">
        <v>6</v>
      </c>
      <c r="Y20" s="814"/>
      <c r="Z20" s="812"/>
      <c r="AA20" s="813">
        <v>6</v>
      </c>
      <c r="AB20" s="814"/>
      <c r="AC20" s="812"/>
      <c r="AD20" s="813">
        <v>6</v>
      </c>
      <c r="AE20" s="814"/>
      <c r="AF20" s="812"/>
      <c r="AG20" s="813">
        <v>6</v>
      </c>
      <c r="AH20" s="814"/>
      <c r="AI20" s="812"/>
      <c r="AJ20" s="813">
        <v>6</v>
      </c>
      <c r="AK20" s="814"/>
      <c r="AL20" s="812"/>
      <c r="AM20" s="813">
        <v>6</v>
      </c>
      <c r="AN20" s="814"/>
      <c r="AO20" s="812"/>
      <c r="AP20" s="813">
        <v>6</v>
      </c>
      <c r="AQ20" s="814"/>
      <c r="AR20" s="812"/>
      <c r="AS20" s="813">
        <v>6</v>
      </c>
      <c r="AT20" s="814"/>
      <c r="AU20" s="812"/>
      <c r="AV20" s="813">
        <v>6</v>
      </c>
      <c r="AW20" s="814"/>
      <c r="AX20" s="812"/>
      <c r="AY20" s="813">
        <v>6</v>
      </c>
      <c r="AZ20" s="814"/>
      <c r="BA20" s="812"/>
      <c r="BB20" s="813">
        <v>6</v>
      </c>
      <c r="BC20" s="814"/>
      <c r="BD20" s="812"/>
      <c r="BE20" s="813">
        <v>6</v>
      </c>
      <c r="BF20" s="814"/>
      <c r="BG20" s="812"/>
      <c r="BH20" s="813">
        <v>6</v>
      </c>
      <c r="BI20" s="814"/>
      <c r="BJ20" s="812"/>
      <c r="BK20" s="813">
        <v>6</v>
      </c>
      <c r="BL20" s="814"/>
      <c r="BM20" s="812"/>
      <c r="BN20" s="813">
        <v>6</v>
      </c>
      <c r="BO20" s="814"/>
      <c r="BP20" s="812"/>
      <c r="BQ20" s="813">
        <v>6</v>
      </c>
      <c r="BR20" s="814"/>
      <c r="BS20" s="812"/>
      <c r="BT20" s="813">
        <v>6</v>
      </c>
      <c r="BU20" s="814"/>
      <c r="BV20" s="812"/>
      <c r="BW20" s="813">
        <v>6</v>
      </c>
      <c r="BX20" s="814"/>
      <c r="BY20" s="812"/>
      <c r="BZ20" s="813">
        <v>6</v>
      </c>
      <c r="CA20" s="814"/>
      <c r="CB20" s="982"/>
      <c r="CC20" s="530"/>
    </row>
    <row r="21" spans="1:88" s="381" customFormat="1" x14ac:dyDescent="0.2">
      <c r="A21" s="2249" t="s">
        <v>100</v>
      </c>
      <c r="B21" s="2250"/>
      <c r="C21" s="2246">
        <v>0.1</v>
      </c>
      <c r="D21" s="2264" t="s">
        <v>13</v>
      </c>
      <c r="E21" s="2265"/>
      <c r="F21" s="2266"/>
      <c r="G21" s="2267"/>
      <c r="H21" s="528">
        <f>ROUND(SQRT(I21^2+J21^2)*1000/(SQRT(3)*I22),2)</f>
        <v>6.77</v>
      </c>
      <c r="I21" s="576">
        <f>-1*-0.004512</f>
        <v>4.5120000000000004E-3</v>
      </c>
      <c r="J21" s="577">
        <f>-1*-0.001488</f>
        <v>1.488E-3</v>
      </c>
      <c r="K21" s="528">
        <f>ROUND(SQRT(L21^2+M21^2)*1000/(SQRT(3)*L22),2)</f>
        <v>4.8899999999999997</v>
      </c>
      <c r="L21" s="576">
        <f>-1*-0.00204</f>
        <v>2.0400000000000001E-3</v>
      </c>
      <c r="M21" s="577">
        <v>2.7599999999999999E-3</v>
      </c>
      <c r="N21" s="528">
        <f>ROUND(SQRT(O21^2+P21^2)*1000/(SQRT(3)*O22),2)</f>
        <v>5.24</v>
      </c>
      <c r="O21" s="576">
        <f>-1*-0.003672</f>
        <v>3.6719999999999999E-3</v>
      </c>
      <c r="P21" s="577">
        <v>1.6799999999999994E-4</v>
      </c>
      <c r="Q21" s="528">
        <f>ROUND(SQRT(R21^2+S21^2)*1000/(SQRT(3)*R22),2)</f>
        <v>4.41</v>
      </c>
      <c r="R21" s="576">
        <f>-1*-0.003</f>
        <v>3.0000000000000001E-3</v>
      </c>
      <c r="S21" s="577">
        <v>7.6800000000000024E-4</v>
      </c>
      <c r="T21" s="528">
        <f>ROUND(SQRT(U21^2+V21^2)*1000/(SQRT(3)*U22),2)</f>
        <v>4.8099999999999996</v>
      </c>
      <c r="U21" s="576">
        <f>-1*-0.002952</f>
        <v>2.9520000000000002E-3</v>
      </c>
      <c r="V21" s="577">
        <v>1.6320000000000002E-3</v>
      </c>
      <c r="W21" s="528">
        <f>ROUND(SQRT(X21^2+Y21^2)*1000/(SQRT(3)*X22),2)</f>
        <v>4.7699999999999996</v>
      </c>
      <c r="X21" s="576">
        <f>-1*-0.003216</f>
        <v>3.2160000000000001E-3</v>
      </c>
      <c r="Y21" s="577">
        <v>9.3599999999999998E-4</v>
      </c>
      <c r="Z21" s="528">
        <f>ROUND(SQRT(AA21^2+AB21^2)*1000/(SQRT(3)*AA22),2)</f>
        <v>4.3499999999999996</v>
      </c>
      <c r="AA21" s="576">
        <f>-1*-0.00288</f>
        <v>2.8800000000000002E-3</v>
      </c>
      <c r="AB21" s="577">
        <v>1.008E-3</v>
      </c>
      <c r="AC21" s="528">
        <f>ROUND(SQRT(AD21^2+AE21^2)*1000/(SQRT(3)*AD22),2)</f>
        <v>5.19</v>
      </c>
      <c r="AD21" s="576">
        <f>-1*-0.003576</f>
        <v>3.5760000000000002E-3</v>
      </c>
      <c r="AE21" s="577">
        <v>6.96E-4</v>
      </c>
      <c r="AF21" s="528">
        <f>ROUND(SQRT(AG21^2+AH21^2)*1000/(SQRT(3)*AG22),2)</f>
        <v>5.09</v>
      </c>
      <c r="AG21" s="576">
        <f>-1*-0.001776</f>
        <v>1.776E-3</v>
      </c>
      <c r="AH21" s="577">
        <v>3.0960000000000002E-3</v>
      </c>
      <c r="AI21" s="528">
        <f>ROUND(SQRT(AJ21^2+AK21^2)*1000/(SQRT(3)*AJ22),2)</f>
        <v>7.3</v>
      </c>
      <c r="AJ21" s="576">
        <f>-1*-0.0048</f>
        <v>4.7999999999999996E-3</v>
      </c>
      <c r="AK21" s="577">
        <f>-1*-0.001776</f>
        <v>1.776E-3</v>
      </c>
      <c r="AL21" s="528">
        <f>ROUND(SQRT(AM21^2+AN21^2)*1000/(SQRT(3)*AM22),2)</f>
        <v>4.9800000000000004</v>
      </c>
      <c r="AM21" s="576">
        <f>-1*-0.001752</f>
        <v>1.7520000000000001E-3</v>
      </c>
      <c r="AN21" s="577">
        <v>3.0240000000000002E-3</v>
      </c>
      <c r="AO21" s="528">
        <f>ROUND(SQRT(AP21^2+AQ21^2)*1000/(SQRT(3)*AP22),2)</f>
        <v>5.82</v>
      </c>
      <c r="AP21" s="576">
        <f>-1*-0.00408</f>
        <v>4.0800000000000003E-3</v>
      </c>
      <c r="AQ21" s="577">
        <v>9.5999999999999867E-5</v>
      </c>
      <c r="AR21" s="528">
        <f>ROUND(SQRT(AS21^2+AT21^2)*1000/(SQRT(3)*AS22),2)</f>
        <v>4.3099999999999996</v>
      </c>
      <c r="AS21" s="576">
        <f>-1*-0.002928</f>
        <v>2.928E-3</v>
      </c>
      <c r="AT21" s="577">
        <f>-1*-0.000744</f>
        <v>7.4399999999999998E-4</v>
      </c>
      <c r="AU21" s="528">
        <f>ROUND(SQRT(AV21^2+AW21^2)*1000/(SQRT(3)*AV22),2)</f>
        <v>4.83</v>
      </c>
      <c r="AV21" s="576">
        <f>-1*-0.003384</f>
        <v>3.3839999999999999E-3</v>
      </c>
      <c r="AW21" s="577">
        <f>-1*-0.000144</f>
        <v>1.44E-4</v>
      </c>
      <c r="AX21" s="528">
        <f>ROUND(SQRT(AY21^2+AZ21^2)*1000/(SQRT(3)*AY22),2)</f>
        <v>5.09</v>
      </c>
      <c r="AY21" s="576">
        <f>-1*-0.003552</f>
        <v>3.552E-3</v>
      </c>
      <c r="AZ21" s="577">
        <f>-1*-0.00036</f>
        <v>3.6000000000000002E-4</v>
      </c>
      <c r="BA21" s="528">
        <f>ROUND(SQRT(BB21^2+BC21^2)*1000/(SQRT(3)*BB22),2)</f>
        <v>3.8</v>
      </c>
      <c r="BB21" s="576">
        <f>-1*-0.0024</f>
        <v>2.3999999999999998E-3</v>
      </c>
      <c r="BC21" s="577">
        <v>1.152E-3</v>
      </c>
      <c r="BD21" s="528">
        <f>ROUND(SQRT(BE21^2+BF21^2)*1000/(SQRT(3)*BE22),2)</f>
        <v>8.8699999999999992</v>
      </c>
      <c r="BE21" s="576">
        <f>-1*-0.005112</f>
        <v>5.1120000000000002E-3</v>
      </c>
      <c r="BF21" s="577">
        <f>-1*-0.003552</f>
        <v>3.552E-3</v>
      </c>
      <c r="BG21" s="528">
        <f>ROUND(SQRT(BH21^2+BI21^2)*1000/(SQRT(3)*BH22),2)</f>
        <v>3.91</v>
      </c>
      <c r="BH21" s="576">
        <f>-1*-0.002568</f>
        <v>2.568E-3</v>
      </c>
      <c r="BI21" s="577">
        <v>9.5999999999999992E-4</v>
      </c>
      <c r="BJ21" s="528">
        <f>ROUND(SQRT(BK21^2+BL21^2)*1000/(SQRT(3)*BK22),2)</f>
        <v>5.17</v>
      </c>
      <c r="BK21" s="576">
        <f>-1*-0.003576</f>
        <v>3.5760000000000002E-3</v>
      </c>
      <c r="BL21" s="577">
        <f>-1*-0.000624</f>
        <v>6.2399999999999999E-4</v>
      </c>
      <c r="BM21" s="528">
        <f>ROUND(SQRT(BN21^2+BO21^2)*1000/(SQRT(3)*BN22),2)</f>
        <v>4.24</v>
      </c>
      <c r="BN21" s="576">
        <f>-1*-0.002904</f>
        <v>2.9039999999999999E-3</v>
      </c>
      <c r="BO21" s="577">
        <f>-1*-0.000648</f>
        <v>6.4800000000000003E-4</v>
      </c>
      <c r="BP21" s="528">
        <f>ROUND(SQRT(BQ21^2+BR21^2)*1000/(SQRT(3)*BQ22),2)</f>
        <v>4.45</v>
      </c>
      <c r="BQ21" s="576">
        <f>-1*-0.003096</f>
        <v>3.0959999999999998E-3</v>
      </c>
      <c r="BR21" s="577">
        <v>4.0800000000000005E-4</v>
      </c>
      <c r="BS21" s="528">
        <f>ROUND(SQRT(BT21^2+BU21^2)*1000/(SQRT(3)*BT22),2)</f>
        <v>6.43</v>
      </c>
      <c r="BT21" s="576">
        <f>-1*-0.004368</f>
        <v>4.3680000000000004E-3</v>
      </c>
      <c r="BU21" s="577">
        <f>-1*-0.001128</f>
        <v>1.1280000000000001E-3</v>
      </c>
      <c r="BV21" s="528">
        <f>ROUND(SQRT(BW21^2+BX21^2)*1000/(SQRT(3)*BW22),2)</f>
        <v>4.04</v>
      </c>
      <c r="BW21" s="576">
        <f>-1*-0.002808</f>
        <v>2.8080000000000002E-3</v>
      </c>
      <c r="BX21" s="577">
        <v>3.5999999999999986E-4</v>
      </c>
      <c r="BY21" s="528">
        <f>ROUND(SQRT(BZ21^2+CA21^2)*1000/(SQRT(3)*BZ22),2)</f>
        <v>8.75</v>
      </c>
      <c r="BZ21" s="576">
        <f>-1*-0.005328</f>
        <v>5.3280000000000003E-3</v>
      </c>
      <c r="CA21" s="577">
        <f>-1*-0.003048</f>
        <v>3.0479999999999999E-3</v>
      </c>
      <c r="CB21" s="515">
        <f>SUM(BZ21,BW21,BT21,BQ21,BN21,BK21,BH21,BE21,BB21,AY21,AV21,AS21,AP21,AM21,AJ21,AG21,AD21,AA21,X21,U21,R21,O21,L21,I21)</f>
        <v>8.027999999999999E-2</v>
      </c>
      <c r="CC21" s="515">
        <f>SUM(CA21,BX21,BU21,BR21,BO21,BL21,BI21,BF21,BC21,AZ21,AW21,AT21,AQ21,AN21,AK21,AH21,AE21,AB21,Y21,V21,S21,P21,M21,J21)</f>
        <v>3.0576000000000002E-2</v>
      </c>
      <c r="CE21" s="529"/>
      <c r="CF21" s="530"/>
      <c r="CG21" s="530"/>
      <c r="CJ21" s="531"/>
    </row>
    <row r="22" spans="1:88" s="381" customFormat="1" ht="13.5" thickBot="1" x14ac:dyDescent="0.25">
      <c r="A22" s="2253"/>
      <c r="B22" s="2254"/>
      <c r="C22" s="2248"/>
      <c r="D22" s="2270" t="s">
        <v>14</v>
      </c>
      <c r="E22" s="2271"/>
      <c r="F22" s="2268"/>
      <c r="G22" s="2269"/>
      <c r="H22" s="732"/>
      <c r="I22" s="733">
        <v>0.40500000000000003</v>
      </c>
      <c r="J22" s="734"/>
      <c r="K22" s="732"/>
      <c r="L22" s="733">
        <v>0.40500000000000003</v>
      </c>
      <c r="M22" s="734"/>
      <c r="N22" s="732"/>
      <c r="O22" s="733">
        <v>0.40500000000000003</v>
      </c>
      <c r="P22" s="734"/>
      <c r="Q22" s="732"/>
      <c r="R22" s="733">
        <v>0.40500000000000003</v>
      </c>
      <c r="S22" s="734"/>
      <c r="T22" s="732"/>
      <c r="U22" s="733">
        <v>0.40500000000000003</v>
      </c>
      <c r="V22" s="734"/>
      <c r="W22" s="732"/>
      <c r="X22" s="733">
        <v>0.40500000000000003</v>
      </c>
      <c r="Y22" s="734"/>
      <c r="Z22" s="732"/>
      <c r="AA22" s="733">
        <v>0.40500000000000003</v>
      </c>
      <c r="AB22" s="734"/>
      <c r="AC22" s="732"/>
      <c r="AD22" s="733">
        <v>0.40500000000000003</v>
      </c>
      <c r="AE22" s="734"/>
      <c r="AF22" s="732"/>
      <c r="AG22" s="733">
        <v>0.40500000000000003</v>
      </c>
      <c r="AH22" s="734"/>
      <c r="AI22" s="732"/>
      <c r="AJ22" s="733">
        <v>0.40500000000000003</v>
      </c>
      <c r="AK22" s="734"/>
      <c r="AL22" s="732"/>
      <c r="AM22" s="733">
        <v>0.40500000000000003</v>
      </c>
      <c r="AN22" s="734"/>
      <c r="AO22" s="732"/>
      <c r="AP22" s="733">
        <v>0.40500000000000003</v>
      </c>
      <c r="AQ22" s="734"/>
      <c r="AR22" s="732"/>
      <c r="AS22" s="733">
        <v>0.40500000000000003</v>
      </c>
      <c r="AT22" s="734"/>
      <c r="AU22" s="732"/>
      <c r="AV22" s="733">
        <v>0.40500000000000003</v>
      </c>
      <c r="AW22" s="734"/>
      <c r="AX22" s="732"/>
      <c r="AY22" s="733">
        <v>0.40500000000000003</v>
      </c>
      <c r="AZ22" s="734"/>
      <c r="BA22" s="732"/>
      <c r="BB22" s="733">
        <v>0.40500000000000003</v>
      </c>
      <c r="BC22" s="734"/>
      <c r="BD22" s="732"/>
      <c r="BE22" s="733">
        <v>0.40500000000000003</v>
      </c>
      <c r="BF22" s="734"/>
      <c r="BG22" s="732"/>
      <c r="BH22" s="733">
        <v>0.40500000000000003</v>
      </c>
      <c r="BI22" s="734"/>
      <c r="BJ22" s="732"/>
      <c r="BK22" s="733">
        <v>0.40500000000000003</v>
      </c>
      <c r="BL22" s="734"/>
      <c r="BM22" s="732"/>
      <c r="BN22" s="733">
        <v>0.40500000000000003</v>
      </c>
      <c r="BO22" s="734"/>
      <c r="BP22" s="732"/>
      <c r="BQ22" s="733">
        <v>0.40500000000000003</v>
      </c>
      <c r="BR22" s="734"/>
      <c r="BS22" s="732"/>
      <c r="BT22" s="733">
        <v>0.40500000000000003</v>
      </c>
      <c r="BU22" s="734"/>
      <c r="BV22" s="732"/>
      <c r="BW22" s="733">
        <v>0.40500000000000003</v>
      </c>
      <c r="BX22" s="734"/>
      <c r="BY22" s="732"/>
      <c r="BZ22" s="733">
        <v>0.40500000000000003</v>
      </c>
      <c r="CA22" s="734"/>
      <c r="CB22" s="985"/>
      <c r="CC22" s="515"/>
    </row>
    <row r="23" spans="1:88" s="381" customFormat="1" x14ac:dyDescent="0.2">
      <c r="A23" s="2249" t="s">
        <v>101</v>
      </c>
      <c r="B23" s="2250"/>
      <c r="C23" s="2246">
        <v>0.1</v>
      </c>
      <c r="D23" s="2264" t="s">
        <v>13</v>
      </c>
      <c r="E23" s="2265"/>
      <c r="F23" s="2266"/>
      <c r="G23" s="2267"/>
      <c r="H23" s="528">
        <f>ROUND(SQRT(I23^2+J23^2)*1000/(SQRT(3)*I24),2)</f>
        <v>1.67</v>
      </c>
      <c r="I23" s="576">
        <f>-1*-0.000256</f>
        <v>2.5599999999999999E-4</v>
      </c>
      <c r="J23" s="577">
        <v>1.152E-3</v>
      </c>
      <c r="K23" s="528">
        <f>ROUND(SQRT(L23^2+M23^2)*1000/(SQRT(3)*L24),2)</f>
        <v>0.5</v>
      </c>
      <c r="L23" s="576">
        <f>-1*-0.000352</f>
        <v>3.5199999999999999E-4</v>
      </c>
      <c r="M23" s="577">
        <v>3.1999999999999971E-5</v>
      </c>
      <c r="N23" s="528">
        <f>ROUND(SQRT(O23^2+P23^2)*1000/(SQRT(3)*O24),2)</f>
        <v>1.37</v>
      </c>
      <c r="O23" s="576">
        <f>-1*-0.000288</f>
        <v>2.8800000000000001E-4</v>
      </c>
      <c r="P23" s="577">
        <v>9.279999999999999E-4</v>
      </c>
      <c r="Q23" s="528">
        <f>ROUND(SQRT(R23^2+S23^2)*1000/(SQRT(3)*R24),2)</f>
        <v>0.62</v>
      </c>
      <c r="R23" s="576">
        <f>-1*-0.000352</f>
        <v>3.5199999999999999E-4</v>
      </c>
      <c r="S23" s="577">
        <v>2.5599999999999999E-4</v>
      </c>
      <c r="T23" s="528">
        <f>ROUND(SQRT(U23^2+V23^2)*1000/(SQRT(3)*U24),2)</f>
        <v>0.93</v>
      </c>
      <c r="U23" s="576">
        <f>-1*-0.00032</f>
        <v>3.2000000000000003E-4</v>
      </c>
      <c r="V23" s="577">
        <v>5.7600000000000001E-4</v>
      </c>
      <c r="W23" s="528">
        <f>ROUND(SQRT(X23^2+Y23^2)*1000/(SQRT(3)*X24),2)</f>
        <v>0.93</v>
      </c>
      <c r="X23" s="576">
        <f>-1*-0.00032</f>
        <v>3.2000000000000003E-4</v>
      </c>
      <c r="Y23" s="577">
        <v>5.7600000000000001E-4</v>
      </c>
      <c r="Z23" s="528">
        <f>ROUND(SQRT(AA23^2+AB23^2)*1000/(SQRT(3)*AA24),2)</f>
        <v>0.56999999999999995</v>
      </c>
      <c r="AA23" s="576">
        <f>-1*-0.000352</f>
        <v>3.5199999999999999E-4</v>
      </c>
      <c r="AB23" s="577">
        <v>1.92E-4</v>
      </c>
      <c r="AC23" s="528">
        <f>ROUND(SQRT(AD23^2+AE23^2)*1000/(SQRT(3)*AD24),2)</f>
        <v>1.59</v>
      </c>
      <c r="AD23" s="576">
        <f>-1*-0.000288</f>
        <v>2.8800000000000001E-4</v>
      </c>
      <c r="AE23" s="577">
        <v>1.088E-3</v>
      </c>
      <c r="AF23" s="528">
        <f>ROUND(SQRT(AG23^2+AH23^2)*1000/(SQRT(3)*AG24),2)</f>
        <v>0.56999999999999995</v>
      </c>
      <c r="AG23" s="576">
        <f>-1*-0.000384</f>
        <v>3.8400000000000001E-4</v>
      </c>
      <c r="AH23" s="577">
        <f>-1*-0.000128</f>
        <v>1.2799999999999999E-4</v>
      </c>
      <c r="AI23" s="528">
        <f>ROUND(SQRT(AJ23^2+AK23^2)*1000/(SQRT(3)*AJ24),2)</f>
        <v>1.93</v>
      </c>
      <c r="AJ23" s="576">
        <f>-1*-0.000224</f>
        <v>2.24E-4</v>
      </c>
      <c r="AK23" s="577">
        <v>1.3440000000000001E-3</v>
      </c>
      <c r="AL23" s="528">
        <f>ROUND(SQRT(AM23^2+AN23^2)*1000/(SQRT(3)*AM24),2)</f>
        <v>0.59</v>
      </c>
      <c r="AM23" s="576">
        <f>-1*-0.000384</f>
        <v>3.8400000000000001E-4</v>
      </c>
      <c r="AN23" s="577">
        <f>-1*-0.00016</f>
        <v>1.6000000000000001E-4</v>
      </c>
      <c r="AO23" s="528">
        <f>ROUND(SQRT(AP23^2+AQ23^2)*1000/(SQRT(3)*AP24),2)</f>
        <v>2.2000000000000002</v>
      </c>
      <c r="AP23" s="576">
        <f>-1*-0.000224</f>
        <v>2.24E-4</v>
      </c>
      <c r="AQ23" s="577">
        <v>1.5360000000000003E-3</v>
      </c>
      <c r="AR23" s="528">
        <f>ROUND(SQRT(AS23^2+AT23^2)*1000/(SQRT(3)*AS24),2)</f>
        <v>0.61</v>
      </c>
      <c r="AS23" s="576">
        <f>-1*-0.000384</f>
        <v>3.8400000000000001E-4</v>
      </c>
      <c r="AT23" s="577">
        <f>-1*-0.000192</f>
        <v>1.92E-4</v>
      </c>
      <c r="AU23" s="528">
        <f>ROUND(SQRT(AV23^2+AW23^2)*1000/(SQRT(3)*AV24),2)</f>
        <v>0.93</v>
      </c>
      <c r="AV23" s="576">
        <f>-1*-0.00032</f>
        <v>3.2000000000000003E-4</v>
      </c>
      <c r="AW23" s="577">
        <v>5.7600000000000001E-4</v>
      </c>
      <c r="AX23" s="528">
        <f>ROUND(SQRT(AY23^2+AZ23^2)*1000/(SQRT(3)*AY24),2)</f>
        <v>1.05</v>
      </c>
      <c r="AY23" s="576">
        <f>-1*-0.00032</f>
        <v>3.2000000000000003E-4</v>
      </c>
      <c r="AZ23" s="577">
        <v>6.7200000000000018E-4</v>
      </c>
      <c r="BA23" s="528">
        <f>ROUND(SQRT(BB23^2+BC23^2)*1000/(SQRT(3)*BB24),2)</f>
        <v>0.63</v>
      </c>
      <c r="BB23" s="576">
        <f>-1*-0.000384</f>
        <v>3.8400000000000001E-4</v>
      </c>
      <c r="BC23" s="577">
        <f>-1*-0.000224</f>
        <v>2.24E-4</v>
      </c>
      <c r="BD23" s="528">
        <f>ROUND(SQRT(BE23^2+BF23^2)*1000/(SQRT(3)*BE24),2)</f>
        <v>2.0699999999999998</v>
      </c>
      <c r="BE23" s="576">
        <f>-1*-0.000256</f>
        <v>2.5599999999999999E-4</v>
      </c>
      <c r="BF23" s="577">
        <v>1.4399999999999999E-3</v>
      </c>
      <c r="BG23" s="528">
        <f>ROUND(SQRT(BH23^2+BI23^2)*1000/(SQRT(3)*BH24),2)</f>
        <v>0.68</v>
      </c>
      <c r="BH23" s="576">
        <f>-1*-0.000384</f>
        <v>3.8400000000000001E-4</v>
      </c>
      <c r="BI23" s="577">
        <f>-1*-0.000288</f>
        <v>2.8800000000000001E-4</v>
      </c>
      <c r="BJ23" s="528">
        <f>ROUND(SQRT(BK23^2+BL23^2)*1000/(SQRT(3)*BK24),2)</f>
        <v>1.75</v>
      </c>
      <c r="BK23" s="576">
        <f>-1*-0.000224</f>
        <v>2.24E-4</v>
      </c>
      <c r="BL23" s="577">
        <v>1.2160000000000003E-3</v>
      </c>
      <c r="BM23" s="528">
        <f>ROUND(SQRT(BN23^2+BO23^2)*1000/(SQRT(3)*BN24),2)</f>
        <v>0.55000000000000004</v>
      </c>
      <c r="BN23" s="576">
        <f>-1*-0.000384</f>
        <v>3.8400000000000001E-4</v>
      </c>
      <c r="BO23" s="577">
        <v>6.4000000000000051E-5</v>
      </c>
      <c r="BP23" s="528">
        <f>ROUND(SQRT(BQ23^2+BR23^2)*1000/(SQRT(3)*BQ24),2)</f>
        <v>0.51</v>
      </c>
      <c r="BQ23" s="576">
        <f>-1*-0.000352</f>
        <v>3.5199999999999999E-4</v>
      </c>
      <c r="BR23" s="577">
        <f>-1*-0.000064</f>
        <v>6.3999999999999997E-5</v>
      </c>
      <c r="BS23" s="528">
        <f>ROUND(SQRT(BT23^2+BU23^2)*1000/(SQRT(3)*BT24),2)</f>
        <v>1.71</v>
      </c>
      <c r="BT23" s="576">
        <f>-1*-0.000256</f>
        <v>2.5599999999999999E-4</v>
      </c>
      <c r="BU23" s="577">
        <v>1.1840000000000002E-3</v>
      </c>
      <c r="BV23" s="528">
        <f>ROUND(SQRT(BW23^2+BX23^2)*1000/(SQRT(3)*BW24),2)</f>
        <v>0.71</v>
      </c>
      <c r="BW23" s="576">
        <f>-1*-0.000384</f>
        <v>3.8400000000000001E-4</v>
      </c>
      <c r="BX23" s="577">
        <f>-1*-0.00032</f>
        <v>3.2000000000000003E-4</v>
      </c>
      <c r="BY23" s="528">
        <f>ROUND(SQRT(BZ23^2+CA23^2)*1000/(SQRT(3)*BZ24),2)</f>
        <v>2.2000000000000002</v>
      </c>
      <c r="BZ23" s="576">
        <f>-1*-0.000256</f>
        <v>2.5599999999999999E-4</v>
      </c>
      <c r="CA23" s="577">
        <v>1.536E-3</v>
      </c>
      <c r="CB23" s="515">
        <f>SUM(BZ23,BW23,BT23,BQ23,BN23,BK23,BH23,BE23,BB23,AY23,AV23,AS23,AP23,AM23,AJ23,AG23,AD23,AA23,X23,U23,R23,O23,L23,I23)</f>
        <v>7.6479999999999994E-3</v>
      </c>
      <c r="CC23" s="515">
        <f>SUM(CA23,BX23,BU23,BR23,BO23,BL23,BI23,BF23,BC23,AZ23,AW23,AT23,AQ23,AN23,AK23,AH23,AE23,AB23,Y23,V23,S23,P23,M23,J23)</f>
        <v>1.5744000000000001E-2</v>
      </c>
      <c r="CE23" s="529"/>
      <c r="CF23" s="530"/>
      <c r="CG23" s="530"/>
      <c r="CJ23" s="531"/>
    </row>
    <row r="24" spans="1:88" s="381" customFormat="1" ht="13.5" thickBot="1" x14ac:dyDescent="0.25">
      <c r="A24" s="2253"/>
      <c r="B24" s="2254"/>
      <c r="C24" s="2248"/>
      <c r="D24" s="2270" t="s">
        <v>14</v>
      </c>
      <c r="E24" s="2271"/>
      <c r="F24" s="2268"/>
      <c r="G24" s="2269"/>
      <c r="H24" s="732"/>
      <c r="I24" s="733">
        <v>0.40799999999999997</v>
      </c>
      <c r="J24" s="734"/>
      <c r="K24" s="732"/>
      <c r="L24" s="733">
        <v>0.40799999999999997</v>
      </c>
      <c r="M24" s="734"/>
      <c r="N24" s="732"/>
      <c r="O24" s="733">
        <v>0.40799999999999997</v>
      </c>
      <c r="P24" s="734"/>
      <c r="Q24" s="732"/>
      <c r="R24" s="733">
        <v>0.40799999999999997</v>
      </c>
      <c r="S24" s="734"/>
      <c r="T24" s="732"/>
      <c r="U24" s="733">
        <v>0.40799999999999997</v>
      </c>
      <c r="V24" s="734"/>
      <c r="W24" s="732"/>
      <c r="X24" s="733">
        <v>0.40799999999999997</v>
      </c>
      <c r="Y24" s="734"/>
      <c r="Z24" s="732"/>
      <c r="AA24" s="733">
        <v>0.40799999999999997</v>
      </c>
      <c r="AB24" s="734"/>
      <c r="AC24" s="732"/>
      <c r="AD24" s="733">
        <v>0.40799999999999997</v>
      </c>
      <c r="AE24" s="734"/>
      <c r="AF24" s="732"/>
      <c r="AG24" s="733">
        <v>0.40799999999999997</v>
      </c>
      <c r="AH24" s="734"/>
      <c r="AI24" s="732"/>
      <c r="AJ24" s="733">
        <v>0.40799999999999997</v>
      </c>
      <c r="AK24" s="734"/>
      <c r="AL24" s="732"/>
      <c r="AM24" s="733">
        <v>0.40799999999999997</v>
      </c>
      <c r="AN24" s="734"/>
      <c r="AO24" s="732"/>
      <c r="AP24" s="733">
        <v>0.40799999999999997</v>
      </c>
      <c r="AQ24" s="734"/>
      <c r="AR24" s="732"/>
      <c r="AS24" s="733">
        <v>0.40799999999999997</v>
      </c>
      <c r="AT24" s="734"/>
      <c r="AU24" s="732"/>
      <c r="AV24" s="733">
        <v>0.40799999999999997</v>
      </c>
      <c r="AW24" s="734"/>
      <c r="AX24" s="732"/>
      <c r="AY24" s="733">
        <v>0.40799999999999997</v>
      </c>
      <c r="AZ24" s="734"/>
      <c r="BA24" s="732"/>
      <c r="BB24" s="733">
        <v>0.40799999999999997</v>
      </c>
      <c r="BC24" s="734"/>
      <c r="BD24" s="732"/>
      <c r="BE24" s="733">
        <v>0.40799999999999997</v>
      </c>
      <c r="BF24" s="734"/>
      <c r="BG24" s="732"/>
      <c r="BH24" s="733">
        <v>0.40799999999999997</v>
      </c>
      <c r="BI24" s="734"/>
      <c r="BJ24" s="732"/>
      <c r="BK24" s="733">
        <v>0.40799999999999997</v>
      </c>
      <c r="BL24" s="734"/>
      <c r="BM24" s="732"/>
      <c r="BN24" s="733">
        <v>0.40799999999999997</v>
      </c>
      <c r="BO24" s="734"/>
      <c r="BP24" s="732"/>
      <c r="BQ24" s="733">
        <v>0.40799999999999997</v>
      </c>
      <c r="BR24" s="734"/>
      <c r="BS24" s="732"/>
      <c r="BT24" s="733">
        <v>0.40799999999999997</v>
      </c>
      <c r="BU24" s="734"/>
      <c r="BV24" s="732"/>
      <c r="BW24" s="733">
        <v>0.40799999999999997</v>
      </c>
      <c r="BX24" s="734"/>
      <c r="BY24" s="732"/>
      <c r="BZ24" s="733">
        <v>0.40799999999999997</v>
      </c>
      <c r="CA24" s="734"/>
      <c r="CB24" s="982"/>
      <c r="CC24" s="986"/>
    </row>
    <row r="25" spans="1:88" x14ac:dyDescent="0.2">
      <c r="A25" s="2272" t="s">
        <v>35</v>
      </c>
      <c r="B25" s="2272"/>
      <c r="C25" s="2273"/>
      <c r="D25" s="2276" t="s">
        <v>33</v>
      </c>
      <c r="E25" s="2277"/>
      <c r="F25" s="2277"/>
      <c r="G25" s="2278"/>
      <c r="H25" s="714" t="s">
        <v>84</v>
      </c>
      <c r="I25" s="715" t="s">
        <v>84</v>
      </c>
      <c r="J25" s="716" t="s">
        <v>84</v>
      </c>
      <c r="K25" s="714" t="s">
        <v>84</v>
      </c>
      <c r="L25" s="715" t="s">
        <v>84</v>
      </c>
      <c r="M25" s="716" t="s">
        <v>84</v>
      </c>
      <c r="N25" s="714" t="s">
        <v>84</v>
      </c>
      <c r="O25" s="715" t="s">
        <v>84</v>
      </c>
      <c r="P25" s="716" t="s">
        <v>84</v>
      </c>
      <c r="Q25" s="714" t="s">
        <v>84</v>
      </c>
      <c r="R25" s="715" t="s">
        <v>84</v>
      </c>
      <c r="S25" s="716" t="s">
        <v>84</v>
      </c>
      <c r="T25" s="714" t="s">
        <v>84</v>
      </c>
      <c r="U25" s="715" t="s">
        <v>84</v>
      </c>
      <c r="V25" s="716" t="s">
        <v>84</v>
      </c>
      <c r="W25" s="714" t="s">
        <v>84</v>
      </c>
      <c r="X25" s="715" t="s">
        <v>84</v>
      </c>
      <c r="Y25" s="716" t="s">
        <v>84</v>
      </c>
      <c r="Z25" s="714" t="s">
        <v>84</v>
      </c>
      <c r="AA25" s="715" t="s">
        <v>84</v>
      </c>
      <c r="AB25" s="716" t="s">
        <v>84</v>
      </c>
      <c r="AC25" s="714" t="s">
        <v>84</v>
      </c>
      <c r="AD25" s="715" t="s">
        <v>84</v>
      </c>
      <c r="AE25" s="716" t="s">
        <v>84</v>
      </c>
      <c r="AF25" s="714" t="s">
        <v>84</v>
      </c>
      <c r="AG25" s="715" t="s">
        <v>84</v>
      </c>
      <c r="AH25" s="716" t="s">
        <v>84</v>
      </c>
      <c r="AI25" s="714" t="s">
        <v>84</v>
      </c>
      <c r="AJ25" s="715" t="s">
        <v>84</v>
      </c>
      <c r="AK25" s="716" t="s">
        <v>84</v>
      </c>
      <c r="AL25" s="714" t="s">
        <v>84</v>
      </c>
      <c r="AM25" s="715" t="s">
        <v>84</v>
      </c>
      <c r="AN25" s="716" t="s">
        <v>84</v>
      </c>
      <c r="AO25" s="714" t="s">
        <v>84</v>
      </c>
      <c r="AP25" s="715" t="s">
        <v>84</v>
      </c>
      <c r="AQ25" s="716" t="s">
        <v>84</v>
      </c>
      <c r="AR25" s="714" t="s">
        <v>84</v>
      </c>
      <c r="AS25" s="715" t="s">
        <v>84</v>
      </c>
      <c r="AT25" s="716" t="s">
        <v>84</v>
      </c>
      <c r="AU25" s="714" t="s">
        <v>84</v>
      </c>
      <c r="AV25" s="715" t="s">
        <v>84</v>
      </c>
      <c r="AW25" s="716" t="s">
        <v>84</v>
      </c>
      <c r="AX25" s="714" t="s">
        <v>84</v>
      </c>
      <c r="AY25" s="715" t="s">
        <v>84</v>
      </c>
      <c r="AZ25" s="716" t="s">
        <v>84</v>
      </c>
      <c r="BA25" s="714" t="s">
        <v>84</v>
      </c>
      <c r="BB25" s="715" t="s">
        <v>84</v>
      </c>
      <c r="BC25" s="716" t="s">
        <v>84</v>
      </c>
      <c r="BD25" s="714" t="s">
        <v>84</v>
      </c>
      <c r="BE25" s="715" t="s">
        <v>84</v>
      </c>
      <c r="BF25" s="716" t="s">
        <v>84</v>
      </c>
      <c r="BG25" s="714" t="s">
        <v>84</v>
      </c>
      <c r="BH25" s="715" t="s">
        <v>84</v>
      </c>
      <c r="BI25" s="716" t="s">
        <v>84</v>
      </c>
      <c r="BJ25" s="714" t="s">
        <v>84</v>
      </c>
      <c r="BK25" s="715" t="s">
        <v>84</v>
      </c>
      <c r="BL25" s="716" t="s">
        <v>84</v>
      </c>
      <c r="BM25" s="714" t="s">
        <v>84</v>
      </c>
      <c r="BN25" s="715" t="s">
        <v>84</v>
      </c>
      <c r="BO25" s="716" t="s">
        <v>84</v>
      </c>
      <c r="BP25" s="714" t="s">
        <v>84</v>
      </c>
      <c r="BQ25" s="715" t="s">
        <v>84</v>
      </c>
      <c r="BR25" s="716" t="s">
        <v>84</v>
      </c>
      <c r="BS25" s="714" t="s">
        <v>84</v>
      </c>
      <c r="BT25" s="715" t="s">
        <v>84</v>
      </c>
      <c r="BU25" s="716" t="s">
        <v>84</v>
      </c>
      <c r="BV25" s="714" t="s">
        <v>84</v>
      </c>
      <c r="BW25" s="715" t="s">
        <v>84</v>
      </c>
      <c r="BX25" s="716" t="s">
        <v>84</v>
      </c>
      <c r="BY25" s="714" t="s">
        <v>84</v>
      </c>
      <c r="BZ25" s="715" t="s">
        <v>84</v>
      </c>
      <c r="CA25" s="716" t="s">
        <v>84</v>
      </c>
      <c r="CB25" s="982"/>
    </row>
    <row r="26" spans="1:88" ht="13.5" thickBot="1" x14ac:dyDescent="0.25">
      <c r="A26" s="2274"/>
      <c r="B26" s="2274"/>
      <c r="C26" s="2275"/>
      <c r="D26" s="2279" t="s">
        <v>34</v>
      </c>
      <c r="E26" s="2280"/>
      <c r="F26" s="2280"/>
      <c r="G26" s="2281"/>
      <c r="H26" s="935">
        <f>SUM(H8:H9,H15:H16)</f>
        <v>112.77</v>
      </c>
      <c r="I26" s="987">
        <f>SUM(I8:I9,I15:I16)</f>
        <v>1.8963679999999998</v>
      </c>
      <c r="J26" s="988">
        <f>SUM(J8:J9,J15:J16)</f>
        <v>0.46464</v>
      </c>
      <c r="K26" s="935">
        <f t="shared" ref="K26:BV26" si="0">SUM(K8:K9,K15:K16)</f>
        <v>106.06</v>
      </c>
      <c r="L26" s="987">
        <f t="shared" si="0"/>
        <v>1.779992</v>
      </c>
      <c r="M26" s="988">
        <f t="shared" si="0"/>
        <v>0.45079200000000003</v>
      </c>
      <c r="N26" s="935">
        <f t="shared" si="0"/>
        <v>107.71000000000001</v>
      </c>
      <c r="O26" s="987">
        <f t="shared" si="0"/>
        <v>1.80796</v>
      </c>
      <c r="P26" s="988">
        <f t="shared" si="0"/>
        <v>0.45749600000000001</v>
      </c>
      <c r="Q26" s="935">
        <f t="shared" si="0"/>
        <v>103.83</v>
      </c>
      <c r="R26" s="987">
        <f t="shared" si="0"/>
        <v>1.7405520000000001</v>
      </c>
      <c r="S26" s="988">
        <f t="shared" si="0"/>
        <v>0.44942399999999999</v>
      </c>
      <c r="T26" s="935">
        <f t="shared" si="0"/>
        <v>105.75</v>
      </c>
      <c r="U26" s="987">
        <f t="shared" si="0"/>
        <v>1.7752720000000002</v>
      </c>
      <c r="V26" s="988">
        <f t="shared" si="0"/>
        <v>0.44860800000000001</v>
      </c>
      <c r="W26" s="935">
        <f t="shared" si="0"/>
        <v>108.02</v>
      </c>
      <c r="X26" s="987">
        <f t="shared" si="0"/>
        <v>1.8167360000000001</v>
      </c>
      <c r="Y26" s="988">
        <f t="shared" si="0"/>
        <v>0.44511200000000006</v>
      </c>
      <c r="Z26" s="935">
        <f t="shared" si="0"/>
        <v>116.31</v>
      </c>
      <c r="AA26" s="987">
        <f t="shared" si="0"/>
        <v>1.9652319999999999</v>
      </c>
      <c r="AB26" s="988">
        <f t="shared" si="0"/>
        <v>0.44120000000000009</v>
      </c>
      <c r="AC26" s="935">
        <f t="shared" si="0"/>
        <v>127.68</v>
      </c>
      <c r="AD26" s="987">
        <f t="shared" si="0"/>
        <v>2.1682639999999997</v>
      </c>
      <c r="AE26" s="988">
        <f t="shared" si="0"/>
        <v>0.43458399999999997</v>
      </c>
      <c r="AF26" s="935">
        <f t="shared" si="0"/>
        <v>131.26999999999998</v>
      </c>
      <c r="AG26" s="987">
        <f t="shared" si="0"/>
        <v>2.2333600000000002</v>
      </c>
      <c r="AH26" s="988">
        <f t="shared" si="0"/>
        <v>0.42602400000000001</v>
      </c>
      <c r="AI26" s="935">
        <f t="shared" si="0"/>
        <v>132.61000000000001</v>
      </c>
      <c r="AJ26" s="987">
        <f t="shared" si="0"/>
        <v>2.2558240000000001</v>
      </c>
      <c r="AK26" s="988">
        <f t="shared" si="0"/>
        <v>0.43232000000000004</v>
      </c>
      <c r="AL26" s="935">
        <f t="shared" si="0"/>
        <v>131.15</v>
      </c>
      <c r="AM26" s="987">
        <f t="shared" si="0"/>
        <v>2.2285359999999996</v>
      </c>
      <c r="AN26" s="988">
        <f t="shared" si="0"/>
        <v>0.44038400000000011</v>
      </c>
      <c r="AO26" s="935">
        <f t="shared" si="0"/>
        <v>130.71</v>
      </c>
      <c r="AP26" s="987">
        <f t="shared" si="0"/>
        <v>2.2191040000000002</v>
      </c>
      <c r="AQ26" s="988">
        <f t="shared" si="0"/>
        <v>0.44843200000000005</v>
      </c>
      <c r="AR26" s="935">
        <f t="shared" si="0"/>
        <v>130.75</v>
      </c>
      <c r="AS26" s="987">
        <f t="shared" si="0"/>
        <v>2.2201119999999999</v>
      </c>
      <c r="AT26" s="988">
        <f t="shared" si="0"/>
        <v>0.44733600000000007</v>
      </c>
      <c r="AU26" s="935">
        <f t="shared" si="0"/>
        <v>128.63</v>
      </c>
      <c r="AV26" s="987">
        <f t="shared" si="0"/>
        <v>2.1833040000000001</v>
      </c>
      <c r="AW26" s="988">
        <f t="shared" si="0"/>
        <v>0.44352000000000003</v>
      </c>
      <c r="AX26" s="935">
        <f t="shared" si="0"/>
        <v>128.73000000000002</v>
      </c>
      <c r="AY26" s="987">
        <f t="shared" si="0"/>
        <v>2.1858719999999998</v>
      </c>
      <c r="AZ26" s="988">
        <f t="shared" si="0"/>
        <v>0.439832</v>
      </c>
      <c r="BA26" s="935">
        <f t="shared" si="0"/>
        <v>129.29</v>
      </c>
      <c r="BB26" s="987">
        <f t="shared" si="0"/>
        <v>2.1983839999999999</v>
      </c>
      <c r="BC26" s="988">
        <f t="shared" si="0"/>
        <v>0.42617600000000005</v>
      </c>
      <c r="BD26" s="935">
        <f t="shared" si="0"/>
        <v>130.19</v>
      </c>
      <c r="BE26" s="987">
        <f t="shared" si="0"/>
        <v>2.2153679999999998</v>
      </c>
      <c r="BF26" s="988">
        <f t="shared" si="0"/>
        <v>0.42099200000000003</v>
      </c>
      <c r="BG26" s="935">
        <f t="shared" si="0"/>
        <v>131.37</v>
      </c>
      <c r="BH26" s="987">
        <f t="shared" si="0"/>
        <v>2.233752</v>
      </c>
      <c r="BI26" s="988">
        <f t="shared" si="0"/>
        <v>0.43324799999999997</v>
      </c>
      <c r="BJ26" s="935">
        <f t="shared" si="0"/>
        <v>133.54000000000002</v>
      </c>
      <c r="BK26" s="987">
        <f t="shared" si="0"/>
        <v>2.2709999999999999</v>
      </c>
      <c r="BL26" s="988">
        <f t="shared" si="0"/>
        <v>0.43823999999999996</v>
      </c>
      <c r="BM26" s="935">
        <f t="shared" si="0"/>
        <v>128.49</v>
      </c>
      <c r="BN26" s="987">
        <f t="shared" si="0"/>
        <v>2.184088</v>
      </c>
      <c r="BO26" s="988">
        <f t="shared" si="0"/>
        <v>0.4271120000000001</v>
      </c>
      <c r="BP26" s="935">
        <f t="shared" si="0"/>
        <v>127.56</v>
      </c>
      <c r="BQ26" s="987">
        <f t="shared" si="0"/>
        <v>2.1670479999999999</v>
      </c>
      <c r="BR26" s="988">
        <f t="shared" si="0"/>
        <v>0.42927199999999999</v>
      </c>
      <c r="BS26" s="935">
        <f t="shared" si="0"/>
        <v>125.35999999999999</v>
      </c>
      <c r="BT26" s="987">
        <f t="shared" si="0"/>
        <v>2.1274240000000004</v>
      </c>
      <c r="BU26" s="988">
        <f t="shared" si="0"/>
        <v>0.43271199999999999</v>
      </c>
      <c r="BV26" s="935">
        <f t="shared" si="0"/>
        <v>120.85</v>
      </c>
      <c r="BW26" s="987">
        <f>SUM(BW8:BW9,BW15:BW16)</f>
        <v>2.045992</v>
      </c>
      <c r="BX26" s="988">
        <f>SUM(BX8:BX9,BX15:BX16)</f>
        <v>0.44147999999999998</v>
      </c>
      <c r="BY26" s="935">
        <f>SUM(BY8:BY9,BY15:BY16)</f>
        <v>112.55000000000001</v>
      </c>
      <c r="BZ26" s="987">
        <f>SUM(BZ8:BZ9,BZ15:BZ16)</f>
        <v>1.8971840000000002</v>
      </c>
      <c r="CA26" s="988">
        <f>SUM(CA8:CA9,CA15:CA16)</f>
        <v>0.44618400000000003</v>
      </c>
      <c r="CB26" s="982"/>
    </row>
    <row r="27" spans="1:88" ht="13.5" customHeight="1" x14ac:dyDescent="0.2">
      <c r="A27" s="537" t="s">
        <v>0</v>
      </c>
      <c r="B27" s="538" t="s">
        <v>184</v>
      </c>
      <c r="C27" s="539">
        <f>(I8+L8+O8+R8+U8+X8+AA8+AD8+AG8+AJ8+AM8+AP8+AS8+AV8+AY8+BB8+BE8+BH8+BK8+BN8+BQ8+BT8+BW8+BZ8)/SQRT((I8+L8+O8+R8+U8+X8+AA8+AD8+AG8+AJ8+AM8+AP8+AS8+AV8+AY8+BB8+BE8+BH8+BK8+BN8+BQ8+BT8+BW8+BZ8)^2+(J8+M8+P8+S8+V8+Y8+AB8+AE8+AH8+AK8+AN8+AQ8+AT8+AW8+BC8+AZ8+BF8+BI8+BL8+BO8+BR8+BU8+BX8+CA8)^2)</f>
        <v>0.97513331034987161</v>
      </c>
      <c r="D27" s="540" t="s">
        <v>185</v>
      </c>
      <c r="E27" s="2337">
        <f>(J8+M8+P8+S8+V8+Y8+AB8+AE8+AH8+AK8+AN8+AQ8+AT8+AW8+BC8+AZ8+BF8+BI8+BL8+BO8+BR8+BU8+BX8+CA8)/(I8+L8+O8+R8+U8+X8+AA8+AD8+AG8+AJ8+AM8+AP8+AS8+AV8+AY8+BB8+BE8+BH8+BK8+BN8+BQ8+BT8+BW8+BZ8)</f>
        <v>0.22727057025972097</v>
      </c>
      <c r="F27" s="2337"/>
      <c r="G27" s="541"/>
      <c r="H27" s="537"/>
      <c r="I27" s="538"/>
      <c r="J27" s="541"/>
      <c r="K27" s="537"/>
      <c r="L27" s="538"/>
      <c r="M27" s="541"/>
      <c r="N27" s="537"/>
      <c r="O27" s="538"/>
      <c r="P27" s="541"/>
      <c r="Q27" s="537"/>
      <c r="R27" s="538"/>
      <c r="S27" s="541"/>
      <c r="T27" s="537"/>
      <c r="U27" s="538"/>
      <c r="V27" s="541"/>
      <c r="W27" s="537"/>
      <c r="X27" s="538"/>
      <c r="Y27" s="541"/>
      <c r="Z27" s="537"/>
      <c r="AA27" s="538"/>
      <c r="AB27" s="541"/>
      <c r="AC27" s="537"/>
      <c r="AD27" s="538"/>
      <c r="AE27" s="541"/>
      <c r="AF27" s="537"/>
      <c r="AG27" s="538"/>
      <c r="AH27" s="541"/>
      <c r="AI27" s="537"/>
      <c r="AJ27" s="538"/>
      <c r="AK27" s="541"/>
      <c r="AL27" s="537"/>
      <c r="AM27" s="538"/>
      <c r="AN27" s="541"/>
      <c r="AO27" s="537"/>
      <c r="AP27" s="538"/>
      <c r="AQ27" s="541"/>
      <c r="AR27" s="537"/>
      <c r="AS27" s="538"/>
      <c r="AT27" s="541"/>
      <c r="AU27" s="537"/>
      <c r="AV27" s="538"/>
      <c r="AW27" s="541"/>
      <c r="AX27" s="537"/>
      <c r="AY27" s="538"/>
      <c r="AZ27" s="541"/>
      <c r="BA27" s="537"/>
      <c r="BB27" s="538"/>
      <c r="BC27" s="541"/>
      <c r="BD27" s="537"/>
      <c r="BE27" s="538"/>
      <c r="BF27" s="541"/>
      <c r="BG27" s="537"/>
      <c r="BH27" s="538"/>
      <c r="BI27" s="541"/>
      <c r="BJ27" s="537"/>
      <c r="BK27" s="538"/>
      <c r="BL27" s="541"/>
      <c r="BM27" s="537"/>
      <c r="BN27" s="538"/>
      <c r="BO27" s="541"/>
      <c r="BP27" s="537"/>
      <c r="BQ27" s="538"/>
      <c r="BR27" s="541"/>
      <c r="BS27" s="537"/>
      <c r="BT27" s="538"/>
      <c r="BU27" s="541"/>
      <c r="BV27" s="537"/>
      <c r="BW27" s="538"/>
      <c r="BX27" s="541"/>
      <c r="BY27" s="537"/>
      <c r="BZ27" s="538"/>
      <c r="CA27" s="541"/>
      <c r="CB27" s="982"/>
    </row>
    <row r="28" spans="1:88" ht="13.5" customHeight="1" thickBot="1" x14ac:dyDescent="0.25">
      <c r="A28" s="545" t="s">
        <v>85</v>
      </c>
      <c r="B28" s="546" t="s">
        <v>184</v>
      </c>
      <c r="C28" s="547">
        <f>(I15+L15+O15+R15+U15+X15+AA15+AD15+AG15+AJ15+AM15+AP15+AS15+AV15+AY15+BB15+BE15+BH15+BK15+BN15+BQ15+BT15+BW15+BZ15)/SQRT((I15+L15+O15+R15+U15+X15+AA15+AD15+AG15+AJ15+AM15+AP15+AS15+AV15+AY15+BB15+BE15+BH15+BK15+BN15+BQ15+BT15+BW15+BZ15)^2+(J15+M15+P15+S15+V15+Y15+AB15+AE15+AH15+AK15+AN15+AQ15+AT15+AW15+BC15+AZ15+BF15+BI15+BL15+BO15+BR15+BU15+BX15+CA15)^2)</f>
        <v>0.97956567945685125</v>
      </c>
      <c r="D28" s="548" t="s">
        <v>185</v>
      </c>
      <c r="E28" s="2338">
        <f>(J15+M15+P15+S15+V15+Y15+AB15+AE15+AH15+AK15+AN15+AQ15+AT15+AW15+BC15+AZ15+BF15+BI15+BL15+BO15+BR15+BU15+BX15+CA15)/(I15+L15+O15+R15+U15+X15+AA15+AD15+AG15+AJ15+AM15+AP15+AS15+AV15+AY15+BB15+BE15+BH15+BK15+BN15+BQ15+BT15+BW15+BZ15)</f>
        <v>0.20532011465020181</v>
      </c>
      <c r="F28" s="2338"/>
      <c r="G28" s="549"/>
      <c r="H28" s="545"/>
      <c r="I28" s="546"/>
      <c r="J28" s="549"/>
      <c r="K28" s="545"/>
      <c r="L28" s="546"/>
      <c r="M28" s="549"/>
      <c r="N28" s="545"/>
      <c r="O28" s="546"/>
      <c r="P28" s="549"/>
      <c r="Q28" s="545"/>
      <c r="R28" s="546"/>
      <c r="S28" s="549"/>
      <c r="T28" s="545"/>
      <c r="U28" s="546"/>
      <c r="V28" s="549"/>
      <c r="W28" s="545"/>
      <c r="X28" s="546"/>
      <c r="Y28" s="549"/>
      <c r="Z28" s="545"/>
      <c r="AA28" s="546"/>
      <c r="AB28" s="549"/>
      <c r="AC28" s="545"/>
      <c r="AD28" s="546"/>
      <c r="AE28" s="549"/>
      <c r="AF28" s="545"/>
      <c r="AG28" s="546"/>
      <c r="AH28" s="549"/>
      <c r="AI28" s="545"/>
      <c r="AJ28" s="546"/>
      <c r="AK28" s="549"/>
      <c r="AL28" s="545"/>
      <c r="AM28" s="546"/>
      <c r="AN28" s="549"/>
      <c r="AO28" s="545"/>
      <c r="AP28" s="546"/>
      <c r="AQ28" s="549"/>
      <c r="AR28" s="545"/>
      <c r="AS28" s="546"/>
      <c r="AT28" s="549"/>
      <c r="AU28" s="545"/>
      <c r="AV28" s="546"/>
      <c r="AW28" s="549"/>
      <c r="AX28" s="545"/>
      <c r="AY28" s="546"/>
      <c r="AZ28" s="549"/>
      <c r="BA28" s="545"/>
      <c r="BB28" s="546"/>
      <c r="BC28" s="549"/>
      <c r="BD28" s="545"/>
      <c r="BE28" s="546"/>
      <c r="BF28" s="549"/>
      <c r="BG28" s="545"/>
      <c r="BH28" s="546"/>
      <c r="BI28" s="549"/>
      <c r="BJ28" s="545"/>
      <c r="BK28" s="546"/>
      <c r="BL28" s="549"/>
      <c r="BM28" s="545"/>
      <c r="BN28" s="546"/>
      <c r="BO28" s="549"/>
      <c r="BP28" s="545"/>
      <c r="BQ28" s="546"/>
      <c r="BR28" s="549"/>
      <c r="BS28" s="545"/>
      <c r="BT28" s="546"/>
      <c r="BU28" s="549"/>
      <c r="BV28" s="545"/>
      <c r="BW28" s="546"/>
      <c r="BX28" s="549"/>
      <c r="BY28" s="545"/>
      <c r="BZ28" s="546"/>
      <c r="CA28" s="549"/>
      <c r="CB28" s="982"/>
    </row>
    <row r="29" spans="1:88" ht="15" customHeight="1" x14ac:dyDescent="0.2">
      <c r="A29" s="2284" t="s">
        <v>40</v>
      </c>
      <c r="B29" s="2285"/>
      <c r="C29" s="2286"/>
      <c r="D29" s="2287" t="s">
        <v>5</v>
      </c>
      <c r="E29" s="2288"/>
      <c r="F29" s="2289" t="s">
        <v>6</v>
      </c>
      <c r="G29" s="2290"/>
      <c r="H29" s="551" t="s">
        <v>4</v>
      </c>
      <c r="I29" s="552" t="s">
        <v>9</v>
      </c>
      <c r="J29" s="553" t="s">
        <v>10</v>
      </c>
      <c r="K29" s="551" t="s">
        <v>4</v>
      </c>
      <c r="L29" s="552" t="s">
        <v>9</v>
      </c>
      <c r="M29" s="553" t="s">
        <v>10</v>
      </c>
      <c r="N29" s="551" t="s">
        <v>4</v>
      </c>
      <c r="O29" s="552" t="s">
        <v>9</v>
      </c>
      <c r="P29" s="553" t="s">
        <v>10</v>
      </c>
      <c r="Q29" s="551" t="s">
        <v>4</v>
      </c>
      <c r="R29" s="552" t="s">
        <v>9</v>
      </c>
      <c r="S29" s="553" t="s">
        <v>10</v>
      </c>
      <c r="T29" s="551" t="s">
        <v>4</v>
      </c>
      <c r="U29" s="552" t="s">
        <v>9</v>
      </c>
      <c r="V29" s="553" t="s">
        <v>10</v>
      </c>
      <c r="W29" s="551" t="s">
        <v>4</v>
      </c>
      <c r="X29" s="552" t="s">
        <v>9</v>
      </c>
      <c r="Y29" s="553" t="s">
        <v>10</v>
      </c>
      <c r="Z29" s="551" t="s">
        <v>4</v>
      </c>
      <c r="AA29" s="552" t="s">
        <v>9</v>
      </c>
      <c r="AB29" s="553" t="s">
        <v>10</v>
      </c>
      <c r="AC29" s="551" t="s">
        <v>4</v>
      </c>
      <c r="AD29" s="552" t="s">
        <v>9</v>
      </c>
      <c r="AE29" s="553" t="s">
        <v>10</v>
      </c>
      <c r="AF29" s="551" t="s">
        <v>4</v>
      </c>
      <c r="AG29" s="552" t="s">
        <v>9</v>
      </c>
      <c r="AH29" s="553" t="s">
        <v>10</v>
      </c>
      <c r="AI29" s="551" t="s">
        <v>4</v>
      </c>
      <c r="AJ29" s="552" t="s">
        <v>9</v>
      </c>
      <c r="AK29" s="553" t="s">
        <v>10</v>
      </c>
      <c r="AL29" s="551" t="s">
        <v>4</v>
      </c>
      <c r="AM29" s="552" t="s">
        <v>9</v>
      </c>
      <c r="AN29" s="553" t="s">
        <v>10</v>
      </c>
      <c r="AO29" s="551" t="s">
        <v>4</v>
      </c>
      <c r="AP29" s="552" t="s">
        <v>9</v>
      </c>
      <c r="AQ29" s="553" t="s">
        <v>10</v>
      </c>
      <c r="AR29" s="551" t="s">
        <v>4</v>
      </c>
      <c r="AS29" s="552" t="s">
        <v>9</v>
      </c>
      <c r="AT29" s="553" t="s">
        <v>10</v>
      </c>
      <c r="AU29" s="551" t="s">
        <v>4</v>
      </c>
      <c r="AV29" s="552" t="s">
        <v>9</v>
      </c>
      <c r="AW29" s="553" t="s">
        <v>10</v>
      </c>
      <c r="AX29" s="551" t="s">
        <v>4</v>
      </c>
      <c r="AY29" s="552" t="s">
        <v>9</v>
      </c>
      <c r="AZ29" s="553" t="s">
        <v>10</v>
      </c>
      <c r="BA29" s="551" t="s">
        <v>4</v>
      </c>
      <c r="BB29" s="552" t="s">
        <v>9</v>
      </c>
      <c r="BC29" s="553" t="s">
        <v>10</v>
      </c>
      <c r="BD29" s="551" t="s">
        <v>4</v>
      </c>
      <c r="BE29" s="552" t="s">
        <v>9</v>
      </c>
      <c r="BF29" s="553" t="s">
        <v>10</v>
      </c>
      <c r="BG29" s="551" t="s">
        <v>4</v>
      </c>
      <c r="BH29" s="552" t="s">
        <v>9</v>
      </c>
      <c r="BI29" s="553" t="s">
        <v>10</v>
      </c>
      <c r="BJ29" s="551" t="s">
        <v>4</v>
      </c>
      <c r="BK29" s="552" t="s">
        <v>9</v>
      </c>
      <c r="BL29" s="553" t="s">
        <v>10</v>
      </c>
      <c r="BM29" s="551" t="s">
        <v>4</v>
      </c>
      <c r="BN29" s="552" t="s">
        <v>9</v>
      </c>
      <c r="BO29" s="553" t="s">
        <v>10</v>
      </c>
      <c r="BP29" s="551" t="s">
        <v>4</v>
      </c>
      <c r="BQ29" s="552" t="s">
        <v>9</v>
      </c>
      <c r="BR29" s="553" t="s">
        <v>10</v>
      </c>
      <c r="BS29" s="551" t="s">
        <v>4</v>
      </c>
      <c r="BT29" s="552" t="s">
        <v>9</v>
      </c>
      <c r="BU29" s="553" t="s">
        <v>10</v>
      </c>
      <c r="BV29" s="551" t="s">
        <v>4</v>
      </c>
      <c r="BW29" s="552" t="s">
        <v>9</v>
      </c>
      <c r="BX29" s="553" t="s">
        <v>10</v>
      </c>
      <c r="BY29" s="551" t="s">
        <v>4</v>
      </c>
      <c r="BZ29" s="552" t="s">
        <v>9</v>
      </c>
      <c r="CA29" s="553" t="s">
        <v>10</v>
      </c>
      <c r="CB29" s="982"/>
    </row>
    <row r="30" spans="1:88" ht="15" customHeight="1" thickBot="1" x14ac:dyDescent="0.25">
      <c r="A30" s="2291" t="s">
        <v>210</v>
      </c>
      <c r="B30" s="2291"/>
      <c r="C30" s="2292"/>
      <c r="D30" s="554" t="s">
        <v>7</v>
      </c>
      <c r="E30" s="554" t="s">
        <v>8</v>
      </c>
      <c r="F30" s="554" t="s">
        <v>7</v>
      </c>
      <c r="G30" s="555" t="s">
        <v>8</v>
      </c>
      <c r="H30" s="556" t="s">
        <v>30</v>
      </c>
      <c r="I30" s="557" t="s">
        <v>31</v>
      </c>
      <c r="J30" s="558" t="s">
        <v>32</v>
      </c>
      <c r="K30" s="556" t="s">
        <v>30</v>
      </c>
      <c r="L30" s="557" t="s">
        <v>31</v>
      </c>
      <c r="M30" s="558" t="s">
        <v>32</v>
      </c>
      <c r="N30" s="556" t="s">
        <v>30</v>
      </c>
      <c r="O30" s="557" t="s">
        <v>31</v>
      </c>
      <c r="P30" s="558" t="s">
        <v>32</v>
      </c>
      <c r="Q30" s="556" t="s">
        <v>30</v>
      </c>
      <c r="R30" s="557" t="s">
        <v>31</v>
      </c>
      <c r="S30" s="558" t="s">
        <v>32</v>
      </c>
      <c r="T30" s="556" t="s">
        <v>30</v>
      </c>
      <c r="U30" s="557" t="s">
        <v>31</v>
      </c>
      <c r="V30" s="558" t="s">
        <v>32</v>
      </c>
      <c r="W30" s="556" t="s">
        <v>30</v>
      </c>
      <c r="X30" s="557" t="s">
        <v>31</v>
      </c>
      <c r="Y30" s="558" t="s">
        <v>32</v>
      </c>
      <c r="Z30" s="556" t="s">
        <v>30</v>
      </c>
      <c r="AA30" s="557" t="s">
        <v>31</v>
      </c>
      <c r="AB30" s="558" t="s">
        <v>32</v>
      </c>
      <c r="AC30" s="556" t="s">
        <v>30</v>
      </c>
      <c r="AD30" s="557" t="s">
        <v>31</v>
      </c>
      <c r="AE30" s="558" t="s">
        <v>32</v>
      </c>
      <c r="AF30" s="556" t="s">
        <v>30</v>
      </c>
      <c r="AG30" s="557" t="s">
        <v>31</v>
      </c>
      <c r="AH30" s="558" t="s">
        <v>32</v>
      </c>
      <c r="AI30" s="556" t="s">
        <v>30</v>
      </c>
      <c r="AJ30" s="557" t="s">
        <v>31</v>
      </c>
      <c r="AK30" s="558" t="s">
        <v>32</v>
      </c>
      <c r="AL30" s="556" t="s">
        <v>30</v>
      </c>
      <c r="AM30" s="557" t="s">
        <v>31</v>
      </c>
      <c r="AN30" s="558" t="s">
        <v>32</v>
      </c>
      <c r="AO30" s="556" t="s">
        <v>30</v>
      </c>
      <c r="AP30" s="557" t="s">
        <v>31</v>
      </c>
      <c r="AQ30" s="558" t="s">
        <v>32</v>
      </c>
      <c r="AR30" s="556" t="s">
        <v>30</v>
      </c>
      <c r="AS30" s="557" t="s">
        <v>31</v>
      </c>
      <c r="AT30" s="558" t="s">
        <v>32</v>
      </c>
      <c r="AU30" s="556" t="s">
        <v>30</v>
      </c>
      <c r="AV30" s="557" t="s">
        <v>31</v>
      </c>
      <c r="AW30" s="558" t="s">
        <v>32</v>
      </c>
      <c r="AX30" s="556" t="s">
        <v>30</v>
      </c>
      <c r="AY30" s="557" t="s">
        <v>31</v>
      </c>
      <c r="AZ30" s="558" t="s">
        <v>32</v>
      </c>
      <c r="BA30" s="556" t="s">
        <v>30</v>
      </c>
      <c r="BB30" s="557" t="s">
        <v>31</v>
      </c>
      <c r="BC30" s="558" t="s">
        <v>32</v>
      </c>
      <c r="BD30" s="556" t="s">
        <v>30</v>
      </c>
      <c r="BE30" s="557" t="s">
        <v>31</v>
      </c>
      <c r="BF30" s="558" t="s">
        <v>32</v>
      </c>
      <c r="BG30" s="556" t="s">
        <v>30</v>
      </c>
      <c r="BH30" s="557" t="s">
        <v>31</v>
      </c>
      <c r="BI30" s="558" t="s">
        <v>32</v>
      </c>
      <c r="BJ30" s="556" t="s">
        <v>30</v>
      </c>
      <c r="BK30" s="557" t="s">
        <v>31</v>
      </c>
      <c r="BL30" s="558" t="s">
        <v>32</v>
      </c>
      <c r="BM30" s="556" t="s">
        <v>30</v>
      </c>
      <c r="BN30" s="557" t="s">
        <v>31</v>
      </c>
      <c r="BO30" s="558" t="s">
        <v>32</v>
      </c>
      <c r="BP30" s="556" t="s">
        <v>30</v>
      </c>
      <c r="BQ30" s="557" t="s">
        <v>31</v>
      </c>
      <c r="BR30" s="558" t="s">
        <v>32</v>
      </c>
      <c r="BS30" s="556" t="s">
        <v>30</v>
      </c>
      <c r="BT30" s="557" t="s">
        <v>31</v>
      </c>
      <c r="BU30" s="558" t="s">
        <v>32</v>
      </c>
      <c r="BV30" s="556" t="s">
        <v>30</v>
      </c>
      <c r="BW30" s="557" t="s">
        <v>31</v>
      </c>
      <c r="BX30" s="558" t="s">
        <v>32</v>
      </c>
      <c r="BY30" s="556" t="s">
        <v>30</v>
      </c>
      <c r="BZ30" s="557" t="s">
        <v>31</v>
      </c>
      <c r="CA30" s="558" t="s">
        <v>32</v>
      </c>
      <c r="CB30" s="982"/>
    </row>
    <row r="31" spans="1:88" x14ac:dyDescent="0.2">
      <c r="A31" s="2360" t="s">
        <v>241</v>
      </c>
      <c r="B31" s="2361"/>
      <c r="C31" s="2362"/>
      <c r="D31" s="559"/>
      <c r="E31" s="560"/>
      <c r="F31" s="561"/>
      <c r="G31" s="562"/>
      <c r="H31" s="575">
        <f>ROUND(SQRT(I31^2+J31^2)*1000/(SQRT(3)*I11),2)</f>
        <v>3.37</v>
      </c>
      <c r="I31" s="576">
        <v>5.4399999999999997E-2</v>
      </c>
      <c r="J31" s="577">
        <v>2.1200000000000004E-2</v>
      </c>
      <c r="K31" s="575">
        <f>ROUND(SQRT(L31^2+M31^2)*1000/(SQRT(3)*L11),2)</f>
        <v>3.13</v>
      </c>
      <c r="L31" s="576">
        <v>5.0799999999999998E-2</v>
      </c>
      <c r="M31" s="577">
        <v>1.8799999999999997E-2</v>
      </c>
      <c r="N31" s="575">
        <f>ROUND(SQRT(O31^2+P31^2)*1000/(SQRT(3)*O11),2)</f>
        <v>3.37</v>
      </c>
      <c r="O31" s="576">
        <v>5.4399999999999997E-2</v>
      </c>
      <c r="P31" s="577">
        <v>2.12E-2</v>
      </c>
      <c r="Q31" s="575">
        <f>ROUND(SQRT(R31^2+S31^2)*1000/(SQRT(3)*R11),2)</f>
        <v>3.32</v>
      </c>
      <c r="R31" s="576">
        <v>5.3600000000000002E-2</v>
      </c>
      <c r="S31" s="577">
        <v>2.0799999999999996E-2</v>
      </c>
      <c r="T31" s="575">
        <f>ROUND(SQRT(U31^2+V31^2)*1000/(SQRT(3)*U11),2)</f>
        <v>3.18</v>
      </c>
      <c r="U31" s="576">
        <v>5.16E-2</v>
      </c>
      <c r="V31" s="577">
        <v>1.9199999999999998E-2</v>
      </c>
      <c r="W31" s="575">
        <f>ROUND(SQRT(X31^2+Y31^2)*1000/(SQRT(3)*X11),2)</f>
        <v>3.34</v>
      </c>
      <c r="X31" s="576">
        <v>5.3999999999999999E-2</v>
      </c>
      <c r="Y31" s="577">
        <v>2.0799999999999999E-2</v>
      </c>
      <c r="Z31" s="575">
        <f>ROUND(SQRT(AA31^2+AB31^2)*1000/(SQRT(3)*AA11),2)</f>
        <v>3.31</v>
      </c>
      <c r="AA31" s="576">
        <v>5.3600000000000002E-2</v>
      </c>
      <c r="AB31" s="577">
        <v>2.0399999999999998E-2</v>
      </c>
      <c r="AC31" s="575">
        <f>ROUND(SQRT(AD31^2+AE31^2)*1000/(SQRT(3)*AD11),2)</f>
        <v>3.3</v>
      </c>
      <c r="AD31" s="576">
        <v>5.3599999999999995E-2</v>
      </c>
      <c r="AE31" s="577">
        <v>1.9600000000000003E-2</v>
      </c>
      <c r="AF31" s="575">
        <f>ROUND(SQRT(AG31^2+AH31^2)*1000/(SQRT(3)*AG11),2)</f>
        <v>3.4</v>
      </c>
      <c r="AG31" s="576">
        <v>5.5200000000000006E-2</v>
      </c>
      <c r="AH31" s="577">
        <v>2.0399999999999998E-2</v>
      </c>
      <c r="AI31" s="575">
        <f>ROUND(SQRT(AJ31^2+AK31^2)*1000/(SQRT(3)*AJ11),2)</f>
        <v>3.16</v>
      </c>
      <c r="AJ31" s="576">
        <v>5.16E-2</v>
      </c>
      <c r="AK31" s="577">
        <v>1.7999999999999999E-2</v>
      </c>
      <c r="AL31" s="575">
        <f>ROUND(SQRT(AM31^2+AN31^2)*1000/(SQRT(3)*AM11),2)</f>
        <v>3.38</v>
      </c>
      <c r="AM31" s="576">
        <v>5.4799999999999995E-2</v>
      </c>
      <c r="AN31" s="577">
        <v>2.0399999999999998E-2</v>
      </c>
      <c r="AO31" s="575">
        <f>ROUND(SQRT(AP31^2+AQ31^2)*1000/(SQRT(3)*AP11),2)</f>
        <v>3.18</v>
      </c>
      <c r="AP31" s="576">
        <v>5.1999999999999998E-2</v>
      </c>
      <c r="AQ31" s="577">
        <v>1.84E-2</v>
      </c>
      <c r="AR31" s="575">
        <f>ROUND(SQRT(AS31^2+AT31^2)*1000/(SQRT(3)*AS11),2)</f>
        <v>3.38</v>
      </c>
      <c r="AS31" s="576">
        <v>5.4799999999999995E-2</v>
      </c>
      <c r="AT31" s="577">
        <v>2.0399999999999998E-2</v>
      </c>
      <c r="AU31" s="575">
        <f>ROUND(SQRT(AV31^2+AW31^2)*1000/(SQRT(3)*AV11),2)</f>
        <v>3.37</v>
      </c>
      <c r="AV31" s="576">
        <v>5.4799999999999995E-2</v>
      </c>
      <c r="AW31" s="577">
        <v>0.02</v>
      </c>
      <c r="AX31" s="575">
        <f>ROUND(SQRT(AY31^2+AZ31^2)*1000/(SQRT(3)*AY11),2)</f>
        <v>3.16</v>
      </c>
      <c r="AY31" s="576">
        <v>5.16E-2</v>
      </c>
      <c r="AZ31" s="577">
        <v>1.84E-2</v>
      </c>
      <c r="BA31" s="575">
        <f>ROUND(SQRT(BB31^2+BC31^2)*1000/(SQRT(3)*BB11),2)</f>
        <v>3.35</v>
      </c>
      <c r="BB31" s="576">
        <v>5.4400000000000004E-2</v>
      </c>
      <c r="BC31" s="577">
        <v>0.02</v>
      </c>
      <c r="BD31" s="575">
        <f>ROUND(SQRT(BE31^2+BF31^2)*1000/(SQRT(3)*BE11),2)</f>
        <v>3.37</v>
      </c>
      <c r="BE31" s="576">
        <v>5.4799999999999995E-2</v>
      </c>
      <c r="BF31" s="577">
        <v>0.02</v>
      </c>
      <c r="BG31" s="575">
        <f>ROUND(SQRT(BH31^2+BI31^2)*1000/(SQRT(3)*BH11),2)</f>
        <v>3.16</v>
      </c>
      <c r="BH31" s="576">
        <v>5.16E-2</v>
      </c>
      <c r="BI31" s="577">
        <v>1.7999999999999999E-2</v>
      </c>
      <c r="BJ31" s="575">
        <f>ROUND(SQRT(BK31^2+BL31^2)*1000/(SQRT(3)*BK11),2)</f>
        <v>3.35</v>
      </c>
      <c r="BK31" s="576">
        <v>5.4400000000000004E-2</v>
      </c>
      <c r="BL31" s="577">
        <v>2.0399999999999998E-2</v>
      </c>
      <c r="BM31" s="575">
        <f>ROUND(SQRT(BN31^2+BO31^2)*1000/(SQRT(3)*BN11),2)</f>
        <v>3.29</v>
      </c>
      <c r="BN31" s="576">
        <v>5.3600000000000002E-2</v>
      </c>
      <c r="BO31" s="577">
        <v>1.9200000000000002E-2</v>
      </c>
      <c r="BP31" s="575">
        <f>ROUND(SQRT(BQ31^2+BR31^2)*1000/(SQRT(3)*BQ11),2)</f>
        <v>3.27</v>
      </c>
      <c r="BQ31" s="576">
        <v>5.3200000000000004E-2</v>
      </c>
      <c r="BR31" s="577">
        <v>1.9199999999999998E-2</v>
      </c>
      <c r="BS31" s="575">
        <f>ROUND(SQRT(BT31^2+BU31^2)*1000/(SQRT(3)*BT11),2)</f>
        <v>3.41</v>
      </c>
      <c r="BT31" s="576">
        <v>5.5200000000000006E-2</v>
      </c>
      <c r="BU31" s="577">
        <v>2.0799999999999996E-2</v>
      </c>
      <c r="BV31" s="575">
        <f>ROUND(SQRT(BW31^2+BX31^2)*1000/(SQRT(3)*BW11),2)</f>
        <v>3.18</v>
      </c>
      <c r="BW31" s="576">
        <v>5.1999999999999998E-2</v>
      </c>
      <c r="BX31" s="577">
        <v>1.84E-2</v>
      </c>
      <c r="BY31" s="575">
        <f>ROUND(SQRT(BZ31^2+CA31^2)*1000/(SQRT(3)*BZ11),2)</f>
        <v>3.41</v>
      </c>
      <c r="BZ31" s="576">
        <v>5.5200000000000006E-2</v>
      </c>
      <c r="CA31" s="577">
        <v>2.0799999999999996E-2</v>
      </c>
      <c r="CB31" s="618">
        <f>SUM(BZ31,BW31,BT31,BQ31,BN31,BK31,BH31,BE31,BB31,AY31,AV31,AS31,AP31,AM31,AJ31,AG31,AD31,AA31,X31,U31,R31,O31,L31,I31)</f>
        <v>1.2852000000000001</v>
      </c>
      <c r="CC31" s="618">
        <f t="shared" ref="CC31:CC38" si="1">SUM(CA31,BX31,BU31,BR31,BO31,BL31,BI31,BF31,BC31,AZ31,AW31,AT31,AQ31,AN31,AK31,AH31,AE31,AB31,Y31,V31,S31,P31,M31,J31)</f>
        <v>0.47479999999999983</v>
      </c>
      <c r="CF31" s="530"/>
      <c r="CG31" s="530"/>
      <c r="CJ31" s="531"/>
    </row>
    <row r="32" spans="1:88" x14ac:dyDescent="0.2">
      <c r="A32" s="2363" t="s">
        <v>242</v>
      </c>
      <c r="B32" s="2364"/>
      <c r="C32" s="2365"/>
      <c r="D32" s="571"/>
      <c r="E32" s="572"/>
      <c r="F32" s="573"/>
      <c r="G32" s="574"/>
      <c r="H32" s="575">
        <f>ROUND(SQRT(I32^2+J32^2)*1000/(SQRT(3)*I11),2)</f>
        <v>16.8</v>
      </c>
      <c r="I32" s="576">
        <v>0.27600000000000002</v>
      </c>
      <c r="J32" s="577">
        <v>9.240000000000001E-2</v>
      </c>
      <c r="K32" s="575">
        <f>ROUND(SQRT(L32^2+M32^2)*1000/(SQRT(3)*L11),2)</f>
        <v>16.36</v>
      </c>
      <c r="L32" s="576">
        <v>0.2676</v>
      </c>
      <c r="M32" s="577">
        <v>9.3200000000000005E-2</v>
      </c>
      <c r="N32" s="575">
        <f>ROUND(SQRT(O32^2+P32^2)*1000/(SQRT(3)*O11),2)</f>
        <v>16.22</v>
      </c>
      <c r="O32" s="576">
        <v>0.26600000000000001</v>
      </c>
      <c r="P32" s="577">
        <v>9.0400000000000008E-2</v>
      </c>
      <c r="Q32" s="575">
        <f>ROUND(SQRT(R32^2+S32^2)*1000/(SQRT(3)*R11),2)</f>
        <v>16.2</v>
      </c>
      <c r="R32" s="576">
        <v>0.26479999999999998</v>
      </c>
      <c r="S32" s="577">
        <v>9.2799999999999994E-2</v>
      </c>
      <c r="T32" s="575">
        <f>ROUND(SQRT(U32^2+V32^2)*1000/(SQRT(3)*U11),2)</f>
        <v>16.23</v>
      </c>
      <c r="U32" s="576">
        <v>0.26639999999999997</v>
      </c>
      <c r="V32" s="577">
        <v>0.09</v>
      </c>
      <c r="W32" s="575">
        <f>ROUND(SQRT(X32^2+Y32^2)*1000/(SQRT(3)*X11),2)</f>
        <v>17.38</v>
      </c>
      <c r="X32" s="576">
        <v>0.28679999999999994</v>
      </c>
      <c r="Y32" s="577">
        <v>9.1199999999999989E-2</v>
      </c>
      <c r="Z32" s="575">
        <f>ROUND(SQRT(AA32^2+AB32^2)*1000/(SQRT(3)*AA11),2)</f>
        <v>18.96</v>
      </c>
      <c r="AA32" s="576">
        <v>0.316</v>
      </c>
      <c r="AB32" s="577">
        <v>8.9599999999999999E-2</v>
      </c>
      <c r="AC32" s="575">
        <f>ROUND(SQRT(AD32^2+AE32^2)*1000/(SQRT(3)*AD11),2)</f>
        <v>22.05</v>
      </c>
      <c r="AD32" s="576">
        <v>0.37239999999999995</v>
      </c>
      <c r="AE32" s="577">
        <v>8.48E-2</v>
      </c>
      <c r="AF32" s="575">
        <f>ROUND(SQRT(AG32^2+AH32^2)*1000/(SQRT(3)*AG11),2)</f>
        <v>25.34</v>
      </c>
      <c r="AG32" s="576">
        <v>0.4304</v>
      </c>
      <c r="AH32" s="577">
        <v>8.5999999999999993E-2</v>
      </c>
      <c r="AI32" s="575">
        <f>ROUND(SQRT(AJ32^2+AK32^2)*1000/(SQRT(3)*AJ11),2)</f>
        <v>27.55</v>
      </c>
      <c r="AJ32" s="576">
        <v>0.46960000000000002</v>
      </c>
      <c r="AK32" s="577">
        <v>8.5199999999999984E-2</v>
      </c>
      <c r="AL32" s="575">
        <f>ROUND(SQRT(AM32^2+AN32^2)*1000/(SQRT(3)*AM11),2)</f>
        <v>28.54</v>
      </c>
      <c r="AM32" s="576">
        <v>0.48599999999999999</v>
      </c>
      <c r="AN32" s="577">
        <v>9.0400000000000008E-2</v>
      </c>
      <c r="AO32" s="575">
        <f>ROUND(SQRT(AP32^2+AQ32^2)*1000/(SQRT(3)*AP11),2)</f>
        <v>28.54</v>
      </c>
      <c r="AP32" s="576">
        <v>0.48479999999999995</v>
      </c>
      <c r="AQ32" s="577">
        <v>9.64E-2</v>
      </c>
      <c r="AR32" s="575">
        <f>ROUND(SQRT(AS32^2+AT32^2)*1000/(SQRT(3)*AS11),2)</f>
        <v>28.13</v>
      </c>
      <c r="AS32" s="576">
        <v>0.47799999999999998</v>
      </c>
      <c r="AT32" s="577">
        <v>9.4E-2</v>
      </c>
      <c r="AU32" s="575">
        <f>ROUND(SQRT(AV32^2+AW32^2)*1000/(SQRT(3)*AV11),2)</f>
        <v>27.63</v>
      </c>
      <c r="AV32" s="576">
        <v>0.47</v>
      </c>
      <c r="AW32" s="577">
        <v>9.0400000000000008E-2</v>
      </c>
      <c r="AX32" s="575">
        <f>ROUND(SQRT(AY32^2+AZ32^2)*1000/(SQRT(3)*AY11),2)</f>
        <v>26.9</v>
      </c>
      <c r="AY32" s="576">
        <v>0.45720000000000005</v>
      </c>
      <c r="AZ32" s="577">
        <v>8.9599999999999999E-2</v>
      </c>
      <c r="BA32" s="575">
        <f>ROUND(SQRT(BB32^2+BC32^2)*1000/(SQRT(3)*BB11),2)</f>
        <v>26.1</v>
      </c>
      <c r="BB32" s="576">
        <v>0.44400000000000001</v>
      </c>
      <c r="BC32" s="577">
        <v>8.48E-2</v>
      </c>
      <c r="BD32" s="575">
        <f>ROUND(SQRT(BE32^2+BF32^2)*1000/(SQRT(3)*BE11),2)</f>
        <v>25.85</v>
      </c>
      <c r="BE32" s="576">
        <v>0.44</v>
      </c>
      <c r="BF32" s="577">
        <v>8.3199999999999982E-2</v>
      </c>
      <c r="BG32" s="575">
        <f>ROUND(SQRT(BH32^2+BI32^2)*1000/(SQRT(3)*BH11),2)</f>
        <v>23.82</v>
      </c>
      <c r="BH32" s="576">
        <v>0.40360000000000001</v>
      </c>
      <c r="BI32" s="577">
        <v>8.5999999999999993E-2</v>
      </c>
      <c r="BJ32" s="575">
        <f>ROUND(SQRT(BK32^2+BL32^2)*1000/(SQRT(3)*BK11),2)</f>
        <v>22.31</v>
      </c>
      <c r="BK32" s="576">
        <v>0.37679999999999997</v>
      </c>
      <c r="BL32" s="577">
        <v>8.5599999999999996E-2</v>
      </c>
      <c r="BM32" s="575">
        <f>ROUND(SQRT(BN32^2+BO32^2)*1000/(SQRT(3)*BN11),2)</f>
        <v>21</v>
      </c>
      <c r="BN32" s="576">
        <v>0.35520000000000007</v>
      </c>
      <c r="BO32" s="577">
        <v>7.8E-2</v>
      </c>
      <c r="BP32" s="575">
        <f>ROUND(SQRT(BQ32^2+BR32^2)*1000/(SQRT(3)*BQ11),2)</f>
        <v>19.600000000000001</v>
      </c>
      <c r="BQ32" s="576">
        <v>0.33</v>
      </c>
      <c r="BR32" s="577">
        <v>7.959999999999999E-2</v>
      </c>
      <c r="BS32" s="575">
        <f>ROUND(SQRT(BT32^2+BU32^2)*1000/(SQRT(3)*BT11),2)</f>
        <v>18.57</v>
      </c>
      <c r="BT32" s="576">
        <v>0.31120000000000003</v>
      </c>
      <c r="BU32" s="577">
        <v>8.1199999999999994E-2</v>
      </c>
      <c r="BV32" s="575">
        <f>ROUND(SQRT(BW32^2+BX32^2)*1000/(SQRT(3)*BW11),2)</f>
        <v>17.98</v>
      </c>
      <c r="BW32" s="576">
        <v>0.3004</v>
      </c>
      <c r="BX32" s="577">
        <v>8.2000000000000003E-2</v>
      </c>
      <c r="BY32" s="575">
        <f>ROUND(SQRT(BZ32^2+CA32^2)*1000/(SQRT(3)*BZ11),2)</f>
        <v>16.87</v>
      </c>
      <c r="BZ32" s="576">
        <v>0.27960000000000002</v>
      </c>
      <c r="CA32" s="577">
        <v>8.48E-2</v>
      </c>
      <c r="CB32" s="618">
        <f t="shared" ref="CB32:CB38" si="2">SUM(BZ32,BW32,BT32,BQ32,BN32,BK32,BH32,BE32,BB32,AY32,AV32,AS32,AP32,AM32,AJ32,AG32,AD32,AA32,X32,U32,R32,O32,L32,I32)</f>
        <v>8.8327999999999989</v>
      </c>
      <c r="CC32" s="618">
        <f t="shared" si="1"/>
        <v>2.1016000000000004</v>
      </c>
      <c r="CF32" s="530"/>
      <c r="CG32" s="530"/>
      <c r="CJ32" s="531"/>
    </row>
    <row r="33" spans="1:88" x14ac:dyDescent="0.2">
      <c r="A33" s="2363" t="s">
        <v>243</v>
      </c>
      <c r="B33" s="2364"/>
      <c r="C33" s="2365"/>
      <c r="D33" s="580"/>
      <c r="E33" s="581"/>
      <c r="F33" s="581"/>
      <c r="G33" s="582"/>
      <c r="H33" s="575">
        <f>ROUND(SQRT(I33^2+J33^2)*1000/(SQRT(3)*I11),2)</f>
        <v>11.25</v>
      </c>
      <c r="I33" s="576">
        <v>0.19119999999999998</v>
      </c>
      <c r="J33" s="577">
        <v>3.7599999999999995E-2</v>
      </c>
      <c r="K33" s="575">
        <f>ROUND(SQRT(L33^2+M33^2)*1000/(SQRT(3)*L11),2)</f>
        <v>10.85</v>
      </c>
      <c r="L33" s="576">
        <v>0.18439999999999998</v>
      </c>
      <c r="M33" s="577">
        <v>3.6400000000000002E-2</v>
      </c>
      <c r="N33" s="575">
        <f>ROUND(SQRT(O33^2+P33^2)*1000/(SQRT(3)*O11),2)</f>
        <v>10.66</v>
      </c>
      <c r="O33" s="576">
        <v>0.18080000000000002</v>
      </c>
      <c r="P33" s="577">
        <v>3.7600000000000001E-2</v>
      </c>
      <c r="Q33" s="575">
        <f>ROUND(SQRT(R33^2+S33^2)*1000/(SQRT(3)*R11),2)</f>
        <v>10.130000000000001</v>
      </c>
      <c r="R33" s="576">
        <v>0.17160000000000003</v>
      </c>
      <c r="S33" s="577">
        <v>3.6799999999999999E-2</v>
      </c>
      <c r="T33" s="575">
        <f>ROUND(SQRT(U33^2+V33^2)*1000/(SQRT(3)*U11),2)</f>
        <v>10.199999999999999</v>
      </c>
      <c r="U33" s="576">
        <v>0.17280000000000001</v>
      </c>
      <c r="V33" s="577">
        <v>3.6799999999999999E-2</v>
      </c>
      <c r="W33" s="575">
        <f>ROUND(SQRT(X33^2+Y33^2)*1000/(SQRT(3)*X11),2)</f>
        <v>10.47</v>
      </c>
      <c r="X33" s="576">
        <v>0.17760000000000001</v>
      </c>
      <c r="Y33" s="577">
        <v>3.6799999999999999E-2</v>
      </c>
      <c r="Z33" s="575">
        <f>ROUND(SQRT(AA33^2+AB33^2)*1000/(SQRT(3)*AA11),2)</f>
        <v>11.33</v>
      </c>
      <c r="AA33" s="576">
        <v>0.19319999999999998</v>
      </c>
      <c r="AB33" s="577">
        <v>3.4000000000000002E-2</v>
      </c>
      <c r="AC33" s="575">
        <f>ROUND(SQRT(AD33^2+AE33^2)*1000/(SQRT(3)*AD11),2)</f>
        <v>12.37</v>
      </c>
      <c r="AD33" s="576">
        <v>0.21160000000000001</v>
      </c>
      <c r="AE33" s="577">
        <v>3.3600000000000005E-2</v>
      </c>
      <c r="AF33" s="575">
        <f>ROUND(SQRT(AG33^2+AH33^2)*1000/(SQRT(3)*AG11),2)</f>
        <v>12.49</v>
      </c>
      <c r="AG33" s="576">
        <v>0.21360000000000001</v>
      </c>
      <c r="AH33" s="577">
        <v>3.44E-2</v>
      </c>
      <c r="AI33" s="575">
        <f>ROUND(SQRT(AJ33^2+AK33^2)*1000/(SQRT(3)*AJ11),2)</f>
        <v>13.04</v>
      </c>
      <c r="AJ33" s="576">
        <v>0.22240000000000001</v>
      </c>
      <c r="AK33" s="577">
        <v>3.9200000000000006E-2</v>
      </c>
      <c r="AL33" s="575">
        <f>ROUND(SQRT(AM33^2+AN33^2)*1000/(SQRT(3)*AM11),2)</f>
        <v>12.92</v>
      </c>
      <c r="AM33" s="576">
        <v>0.22080000000000002</v>
      </c>
      <c r="AN33" s="577">
        <v>3.6799999999999999E-2</v>
      </c>
      <c r="AO33" s="575">
        <f>ROUND(SQRT(AP33^2+AQ33^2)*1000/(SQRT(3)*AP11),2)</f>
        <v>12.98</v>
      </c>
      <c r="AP33" s="576">
        <v>0.22159999999999999</v>
      </c>
      <c r="AQ33" s="577">
        <v>3.8400000000000004E-2</v>
      </c>
      <c r="AR33" s="575">
        <f>ROUND(SQRT(AS33^2+AT33^2)*1000/(SQRT(3)*AS11),2)</f>
        <v>12.68</v>
      </c>
      <c r="AS33" s="576">
        <v>0.21680000000000002</v>
      </c>
      <c r="AT33" s="577">
        <v>3.4799999999999998E-2</v>
      </c>
      <c r="AU33" s="575">
        <f>ROUND(SQRT(AV33^2+AW33^2)*1000/(SQRT(3)*AV11),2)</f>
        <v>13.08</v>
      </c>
      <c r="AV33" s="576">
        <v>0.22359999999999999</v>
      </c>
      <c r="AW33" s="577">
        <v>3.6799999999999999E-2</v>
      </c>
      <c r="AX33" s="575">
        <f>ROUND(SQRT(AY33^2+AZ33^2)*1000/(SQRT(3)*AY11),2)</f>
        <v>13.61</v>
      </c>
      <c r="AY33" s="576">
        <v>0.23280000000000001</v>
      </c>
      <c r="AZ33" s="577">
        <v>3.7599999999999995E-2</v>
      </c>
      <c r="BA33" s="575">
        <f>ROUND(SQRT(BB33^2+BC33^2)*1000/(SQRT(3)*BB11),2)</f>
        <v>14.18</v>
      </c>
      <c r="BB33" s="576">
        <v>0.24280000000000002</v>
      </c>
      <c r="BC33" s="577">
        <v>3.7200000000000004E-2</v>
      </c>
      <c r="BD33" s="575">
        <f>ROUND(SQRT(BE33^2+BF33^2)*1000/(SQRT(3)*BE11),2)</f>
        <v>14.62</v>
      </c>
      <c r="BE33" s="576">
        <v>0.25040000000000001</v>
      </c>
      <c r="BF33" s="577">
        <v>3.7200000000000004E-2</v>
      </c>
      <c r="BG33" s="575">
        <f>ROUND(SQRT(BH33^2+BI33^2)*1000/(SQRT(3)*BH11),2)</f>
        <v>14.43</v>
      </c>
      <c r="BH33" s="576">
        <v>0.24719999999999998</v>
      </c>
      <c r="BI33" s="577">
        <v>3.6400000000000002E-2</v>
      </c>
      <c r="BJ33" s="575">
        <f>ROUND(SQRT(BK33^2+BL33^2)*1000/(SQRT(3)*BK11),2)</f>
        <v>14.39</v>
      </c>
      <c r="BK33" s="576">
        <v>0.24639999999999998</v>
      </c>
      <c r="BL33" s="577">
        <v>3.7999999999999999E-2</v>
      </c>
      <c r="BM33" s="575">
        <f>ROUND(SQRT(BN33^2+BO33^2)*1000/(SQRT(3)*BN11),2)</f>
        <v>14.03</v>
      </c>
      <c r="BN33" s="576">
        <v>0.24</v>
      </c>
      <c r="BO33" s="577">
        <v>3.7600000000000001E-2</v>
      </c>
      <c r="BP33" s="575">
        <f>ROUND(SQRT(BQ33^2+BR33^2)*1000/(SQRT(3)*BQ11),2)</f>
        <v>13.84</v>
      </c>
      <c r="BQ33" s="576">
        <v>0.23680000000000001</v>
      </c>
      <c r="BR33" s="577">
        <v>3.7200000000000004E-2</v>
      </c>
      <c r="BS33" s="575">
        <f>ROUND(SQRT(BT33^2+BU33^2)*1000/(SQRT(3)*BT11),2)</f>
        <v>13.37</v>
      </c>
      <c r="BT33" s="576">
        <v>0.2288</v>
      </c>
      <c r="BU33" s="577">
        <v>3.5999999999999997E-2</v>
      </c>
      <c r="BV33" s="575">
        <f>ROUND(SQRT(BW33^2+BX33^2)*1000/(SQRT(3)*BW11),2)</f>
        <v>12.71</v>
      </c>
      <c r="BW33" s="576">
        <v>0.21719999999999998</v>
      </c>
      <c r="BX33" s="577">
        <v>3.5599999999999993E-2</v>
      </c>
      <c r="BY33" s="575">
        <f>ROUND(SQRT(BZ33^2+CA33^2)*1000/(SQRT(3)*BZ11),2)</f>
        <v>11.65</v>
      </c>
      <c r="BZ33" s="576">
        <v>0.19839999999999997</v>
      </c>
      <c r="CA33" s="577">
        <v>3.6799999999999999E-2</v>
      </c>
      <c r="CB33" s="618">
        <f t="shared" si="2"/>
        <v>5.1427999999999994</v>
      </c>
      <c r="CC33" s="618">
        <f t="shared" si="1"/>
        <v>0.87959999999999972</v>
      </c>
      <c r="CF33" s="530"/>
      <c r="CG33" s="530"/>
      <c r="CJ33" s="531"/>
    </row>
    <row r="34" spans="1:88" s="589" customFormat="1" x14ac:dyDescent="0.2">
      <c r="A34" s="2366" t="s">
        <v>226</v>
      </c>
      <c r="B34" s="2367"/>
      <c r="C34" s="2368"/>
      <c r="D34" s="989"/>
      <c r="E34" s="990"/>
      <c r="F34" s="990"/>
      <c r="G34" s="991"/>
      <c r="H34" s="992">
        <f t="shared" ref="H34:BS34" si="3">H31+H32+H33</f>
        <v>31.42</v>
      </c>
      <c r="I34" s="993">
        <f>I31+I32+I33</f>
        <v>0.52160000000000006</v>
      </c>
      <c r="J34" s="993">
        <f t="shared" si="3"/>
        <v>0.1512</v>
      </c>
      <c r="K34" s="992">
        <f t="shared" si="3"/>
        <v>30.339999999999996</v>
      </c>
      <c r="L34" s="993">
        <f t="shared" si="3"/>
        <v>0.50280000000000002</v>
      </c>
      <c r="M34" s="993">
        <f t="shared" si="3"/>
        <v>0.1484</v>
      </c>
      <c r="N34" s="992">
        <f t="shared" si="3"/>
        <v>30.25</v>
      </c>
      <c r="O34" s="993">
        <f t="shared" si="3"/>
        <v>0.50120000000000009</v>
      </c>
      <c r="P34" s="993">
        <f t="shared" si="3"/>
        <v>0.1492</v>
      </c>
      <c r="Q34" s="992">
        <f t="shared" si="3"/>
        <v>29.65</v>
      </c>
      <c r="R34" s="993">
        <f t="shared" si="3"/>
        <v>0.49</v>
      </c>
      <c r="S34" s="993">
        <f t="shared" si="3"/>
        <v>0.15039999999999998</v>
      </c>
      <c r="T34" s="992">
        <f t="shared" si="3"/>
        <v>29.61</v>
      </c>
      <c r="U34" s="993">
        <f t="shared" si="3"/>
        <v>0.49079999999999996</v>
      </c>
      <c r="V34" s="993">
        <f t="shared" si="3"/>
        <v>0.14599999999999999</v>
      </c>
      <c r="W34" s="992">
        <f t="shared" si="3"/>
        <v>31.189999999999998</v>
      </c>
      <c r="X34" s="993">
        <f t="shared" si="3"/>
        <v>0.51839999999999997</v>
      </c>
      <c r="Y34" s="993">
        <f t="shared" si="3"/>
        <v>0.14879999999999999</v>
      </c>
      <c r="Z34" s="992">
        <f t="shared" si="3"/>
        <v>33.6</v>
      </c>
      <c r="AA34" s="993">
        <f t="shared" si="3"/>
        <v>0.56279999999999997</v>
      </c>
      <c r="AB34" s="993">
        <f t="shared" si="3"/>
        <v>0.14400000000000002</v>
      </c>
      <c r="AC34" s="992">
        <f t="shared" si="3"/>
        <v>37.72</v>
      </c>
      <c r="AD34" s="993">
        <f t="shared" si="3"/>
        <v>0.63759999999999994</v>
      </c>
      <c r="AE34" s="993">
        <f t="shared" si="3"/>
        <v>0.13800000000000001</v>
      </c>
      <c r="AF34" s="992">
        <f t="shared" si="3"/>
        <v>41.23</v>
      </c>
      <c r="AG34" s="993">
        <f t="shared" si="3"/>
        <v>0.69920000000000004</v>
      </c>
      <c r="AH34" s="993">
        <f t="shared" si="3"/>
        <v>0.14079999999999998</v>
      </c>
      <c r="AI34" s="992">
        <f t="shared" si="3"/>
        <v>43.75</v>
      </c>
      <c r="AJ34" s="993">
        <f t="shared" si="3"/>
        <v>0.74360000000000004</v>
      </c>
      <c r="AK34" s="993">
        <f t="shared" si="3"/>
        <v>0.1424</v>
      </c>
      <c r="AL34" s="992">
        <f t="shared" si="3"/>
        <v>44.839999999999996</v>
      </c>
      <c r="AM34" s="993">
        <f t="shared" si="3"/>
        <v>0.76159999999999994</v>
      </c>
      <c r="AN34" s="993">
        <f t="shared" si="3"/>
        <v>0.14760000000000001</v>
      </c>
      <c r="AO34" s="992">
        <f t="shared" si="3"/>
        <v>44.7</v>
      </c>
      <c r="AP34" s="993">
        <f t="shared" si="3"/>
        <v>0.75839999999999996</v>
      </c>
      <c r="AQ34" s="993">
        <f t="shared" si="3"/>
        <v>0.1532</v>
      </c>
      <c r="AR34" s="992">
        <f t="shared" si="3"/>
        <v>44.19</v>
      </c>
      <c r="AS34" s="993">
        <f t="shared" si="3"/>
        <v>0.74959999999999993</v>
      </c>
      <c r="AT34" s="993">
        <f t="shared" si="3"/>
        <v>0.1492</v>
      </c>
      <c r="AU34" s="992">
        <f t="shared" si="3"/>
        <v>44.08</v>
      </c>
      <c r="AV34" s="993">
        <f t="shared" si="3"/>
        <v>0.74839999999999995</v>
      </c>
      <c r="AW34" s="993">
        <f t="shared" si="3"/>
        <v>0.1472</v>
      </c>
      <c r="AX34" s="992">
        <f t="shared" si="3"/>
        <v>43.67</v>
      </c>
      <c r="AY34" s="993">
        <f t="shared" si="3"/>
        <v>0.74160000000000004</v>
      </c>
      <c r="AZ34" s="993">
        <f t="shared" si="3"/>
        <v>0.14560000000000001</v>
      </c>
      <c r="BA34" s="992">
        <f t="shared" si="3"/>
        <v>43.63</v>
      </c>
      <c r="BB34" s="993">
        <f t="shared" si="3"/>
        <v>0.74120000000000008</v>
      </c>
      <c r="BC34" s="993">
        <f t="shared" si="3"/>
        <v>0.14200000000000002</v>
      </c>
      <c r="BD34" s="992">
        <f t="shared" si="3"/>
        <v>43.84</v>
      </c>
      <c r="BE34" s="993">
        <f t="shared" si="3"/>
        <v>0.74520000000000008</v>
      </c>
      <c r="BF34" s="993">
        <f t="shared" si="3"/>
        <v>0.1404</v>
      </c>
      <c r="BG34" s="992">
        <f t="shared" si="3"/>
        <v>41.41</v>
      </c>
      <c r="BH34" s="993">
        <f t="shared" si="3"/>
        <v>0.70239999999999991</v>
      </c>
      <c r="BI34" s="993">
        <f t="shared" si="3"/>
        <v>0.1404</v>
      </c>
      <c r="BJ34" s="992">
        <f t="shared" si="3"/>
        <v>40.049999999999997</v>
      </c>
      <c r="BK34" s="993">
        <f>BK31+BK32+BK33</f>
        <v>0.67759999999999998</v>
      </c>
      <c r="BL34" s="993">
        <f>BL31+BL32+BL33</f>
        <v>0.14399999999999999</v>
      </c>
      <c r="BM34" s="992">
        <f t="shared" si="3"/>
        <v>38.32</v>
      </c>
      <c r="BN34" s="993">
        <f t="shared" si="3"/>
        <v>0.64880000000000004</v>
      </c>
      <c r="BO34" s="993">
        <f t="shared" si="3"/>
        <v>0.1348</v>
      </c>
      <c r="BP34" s="992">
        <f t="shared" si="3"/>
        <v>36.71</v>
      </c>
      <c r="BQ34" s="993">
        <f t="shared" si="3"/>
        <v>0.62000000000000011</v>
      </c>
      <c r="BR34" s="993">
        <f t="shared" si="3"/>
        <v>0.13599999999999998</v>
      </c>
      <c r="BS34" s="992">
        <f t="shared" si="3"/>
        <v>35.35</v>
      </c>
      <c r="BT34" s="993">
        <f t="shared" ref="BT34:CA34" si="4">BT31+BT32+BT33</f>
        <v>0.59520000000000006</v>
      </c>
      <c r="BU34" s="993">
        <f t="shared" si="4"/>
        <v>0.13799999999999998</v>
      </c>
      <c r="BV34" s="992">
        <f t="shared" si="4"/>
        <v>33.870000000000005</v>
      </c>
      <c r="BW34" s="993">
        <f t="shared" si="4"/>
        <v>0.5696</v>
      </c>
      <c r="BX34" s="993">
        <f t="shared" si="4"/>
        <v>0.13600000000000001</v>
      </c>
      <c r="BY34" s="992">
        <f t="shared" si="4"/>
        <v>31.93</v>
      </c>
      <c r="BZ34" s="993">
        <f t="shared" si="4"/>
        <v>0.53320000000000001</v>
      </c>
      <c r="CA34" s="993">
        <f t="shared" si="4"/>
        <v>0.1424</v>
      </c>
      <c r="CB34" s="618">
        <f>SUM(BZ34,BW34,BT34,BQ34,BN34,BK34,BH34,BE34,BB34,AY34,AV34,AS34,AP34,AM34,AJ34,AG34,AD34,AA34,X34,U34,R34,O34,L34,I34)</f>
        <v>15.260800000000001</v>
      </c>
      <c r="CC34" s="618">
        <f t="shared" si="1"/>
        <v>3.4559999999999995</v>
      </c>
      <c r="CF34" s="530"/>
      <c r="CG34" s="530"/>
    </row>
    <row r="35" spans="1:88" ht="13.5" customHeight="1" x14ac:dyDescent="0.2">
      <c r="A35" s="2363" t="s">
        <v>244</v>
      </c>
      <c r="B35" s="2364"/>
      <c r="C35" s="2365"/>
      <c r="D35" s="994"/>
      <c r="E35" s="995"/>
      <c r="F35" s="996"/>
      <c r="G35" s="997"/>
      <c r="H35" s="575">
        <f>ROUND(SQRT(I35^2+J35^2)*1000/(SQRT(3)*I18),2)</f>
        <v>27.75</v>
      </c>
      <c r="I35" s="576">
        <v>0.47599999999999998</v>
      </c>
      <c r="J35" s="577">
        <v>6.6400000000000001E-2</v>
      </c>
      <c r="K35" s="575">
        <f>ROUND(SQRT(L35^2+M35^2)*1000/(SQRT(3)*L18),2)</f>
        <v>25.54</v>
      </c>
      <c r="L35" s="576">
        <v>0.43839999999999996</v>
      </c>
      <c r="M35" s="577">
        <v>5.96E-2</v>
      </c>
      <c r="N35" s="575">
        <f>ROUND(SQRT(O35^2+P35^2)*1000/(SQRT(3)*O18),2)</f>
        <v>28.12</v>
      </c>
      <c r="O35" s="576">
        <v>0.48199999999999998</v>
      </c>
      <c r="P35" s="577">
        <v>6.9599999999999995E-2</v>
      </c>
      <c r="Q35" s="575">
        <f>ROUND(SQRT(R35^2+S35^2)*1000/(SQRT(3)*R18),2)</f>
        <v>25.16</v>
      </c>
      <c r="R35" s="576">
        <v>0.43160000000000004</v>
      </c>
      <c r="S35" s="577">
        <v>0.06</v>
      </c>
      <c r="T35" s="575">
        <f>ROUND(SQRT(U35^2+V35^2)*1000/(SQRT(3)*U18),2)</f>
        <v>27.03</v>
      </c>
      <c r="U35" s="576">
        <v>0.46360000000000001</v>
      </c>
      <c r="V35" s="577">
        <v>6.4799999999999996E-2</v>
      </c>
      <c r="W35" s="575">
        <f>ROUND(SQRT(X35^2+Y35^2)*1000/(SQRT(3)*X18),2)</f>
        <v>26.06</v>
      </c>
      <c r="X35" s="576">
        <v>0.44719999999999999</v>
      </c>
      <c r="Y35" s="577">
        <v>6.1600000000000002E-2</v>
      </c>
      <c r="Z35" s="575">
        <f>ROUND(SQRT(AA35^2+AB35^2)*1000/(SQRT(3)*AA18),2)</f>
        <v>26.37</v>
      </c>
      <c r="AA35" s="576">
        <v>0.45239999999999997</v>
      </c>
      <c r="AB35" s="577">
        <v>6.3199999999999992E-2</v>
      </c>
      <c r="AC35" s="575">
        <f>ROUND(SQRT(AD35^2+AE35^2)*1000/(SQRT(3)*AD18),2)</f>
        <v>28.22</v>
      </c>
      <c r="AD35" s="576">
        <v>0.4844</v>
      </c>
      <c r="AE35" s="577">
        <v>6.4799999999999996E-2</v>
      </c>
      <c r="AF35" s="575">
        <f>ROUND(SQRT(AG35^2+AH35^2)*1000/(SQRT(3)*AG18),2)</f>
        <v>25.34</v>
      </c>
      <c r="AG35" s="576">
        <v>0.43560000000000004</v>
      </c>
      <c r="AH35" s="577">
        <v>5.4400000000000004E-2</v>
      </c>
      <c r="AI35" s="575">
        <f>ROUND(SQRT(AJ35^2+AK35^2)*1000/(SQRT(3)*AJ18),2)</f>
        <v>26.25</v>
      </c>
      <c r="AJ35" s="576">
        <v>0.45080000000000003</v>
      </c>
      <c r="AK35" s="577">
        <v>5.9599999999999993E-2</v>
      </c>
      <c r="AL35" s="575">
        <f>ROUND(SQRT(AM35^2+AN35^2)*1000/(SQRT(3)*AM18),2)</f>
        <v>24.85</v>
      </c>
      <c r="AM35" s="576">
        <v>0.4264</v>
      </c>
      <c r="AN35" s="577">
        <v>5.9200000000000003E-2</v>
      </c>
      <c r="AO35" s="575">
        <f>ROUND(SQRT(AP35^2+AQ35^2)*1000/(SQRT(3)*AP18),2)</f>
        <v>23.95</v>
      </c>
      <c r="AP35" s="576">
        <v>0.4108</v>
      </c>
      <c r="AQ35" s="577">
        <v>5.8000000000000003E-2</v>
      </c>
      <c r="AR35" s="575">
        <f>ROUND(SQRT(AS35^2+AT35^2)*1000/(SQRT(3)*AS18),2)</f>
        <v>24.54</v>
      </c>
      <c r="AS35" s="576">
        <v>0.42080000000000001</v>
      </c>
      <c r="AT35" s="577">
        <v>0.06</v>
      </c>
      <c r="AU35" s="575">
        <f>ROUND(SQRT(AV35^2+AW35^2)*1000/(SQRT(3)*AV18),2)</f>
        <v>23.08</v>
      </c>
      <c r="AV35" s="576">
        <v>0.39600000000000002</v>
      </c>
      <c r="AW35" s="577">
        <v>5.5200000000000006E-2</v>
      </c>
      <c r="AX35" s="575">
        <f>ROUND(SQRT(AY35^2+AZ35^2)*1000/(SQRT(3)*AY18),2)</f>
        <v>24.6</v>
      </c>
      <c r="AY35" s="576">
        <v>0.42199999999999999</v>
      </c>
      <c r="AZ35" s="577">
        <v>5.9200000000000003E-2</v>
      </c>
      <c r="BA35" s="575">
        <f>ROUND(SQRT(BB35^2+BC35^2)*1000/(SQRT(3)*BB18),2)</f>
        <v>24.66</v>
      </c>
      <c r="BB35" s="576">
        <v>0.42319999999999997</v>
      </c>
      <c r="BC35" s="577">
        <v>5.8000000000000003E-2</v>
      </c>
      <c r="BD35" s="575">
        <f>ROUND(SQRT(BE35^2+BF35^2)*1000/(SQRT(3)*BE18),2)</f>
        <v>24.09</v>
      </c>
      <c r="BE35" s="576">
        <v>0.41360000000000002</v>
      </c>
      <c r="BF35" s="577">
        <v>5.4799999999999995E-2</v>
      </c>
      <c r="BG35" s="575">
        <f>ROUND(SQRT(BH35^2+BI35^2)*1000/(SQRT(3)*BH18),2)</f>
        <v>26.47</v>
      </c>
      <c r="BH35" s="576">
        <v>0.45439999999999997</v>
      </c>
      <c r="BI35" s="577">
        <v>6.1599999999999995E-2</v>
      </c>
      <c r="BJ35" s="575">
        <f>ROUND(SQRT(BK35^2+BL35^2)*1000/(SQRT(3)*BK18),2)</f>
        <v>26.21</v>
      </c>
      <c r="BK35" s="576">
        <v>0.4496</v>
      </c>
      <c r="BL35" s="577">
        <v>6.2399999999999997E-2</v>
      </c>
      <c r="BM35" s="575">
        <f>ROUND(SQRT(BN35^2+BO35^2)*1000/(SQRT(3)*BN18),2)</f>
        <v>24.95</v>
      </c>
      <c r="BN35" s="576">
        <v>0.42799999999999999</v>
      </c>
      <c r="BO35" s="577">
        <v>5.9200000000000003E-2</v>
      </c>
      <c r="BP35" s="575">
        <f>ROUND(SQRT(BQ35^2+BR35^2)*1000/(SQRT(3)*BQ18),2)</f>
        <v>24.67</v>
      </c>
      <c r="BQ35" s="576">
        <v>0.42319999999999997</v>
      </c>
      <c r="BR35" s="577">
        <v>5.8400000000000001E-2</v>
      </c>
      <c r="BS35" s="575">
        <f>ROUND(SQRT(BT35^2+BU35^2)*1000/(SQRT(3)*BT18),2)</f>
        <v>24.49</v>
      </c>
      <c r="BT35" s="576">
        <v>0.4204</v>
      </c>
      <c r="BU35" s="577">
        <v>5.6799999999999996E-2</v>
      </c>
      <c r="BV35" s="575">
        <f>ROUND(SQRT(BW35^2+BX35^2)*1000/(SQRT(3)*BW18),2)</f>
        <v>26.41</v>
      </c>
      <c r="BW35" s="576">
        <v>0.45280000000000004</v>
      </c>
      <c r="BX35" s="577">
        <v>6.4399999999999999E-2</v>
      </c>
      <c r="BY35" s="575">
        <f>ROUND(SQRT(BZ35^2+CA35^2)*1000/(SQRT(3)*BZ18),2)</f>
        <v>23.68</v>
      </c>
      <c r="BZ35" s="576">
        <v>0.40639999999999998</v>
      </c>
      <c r="CA35" s="577">
        <v>5.5599999999999997E-2</v>
      </c>
      <c r="CB35" s="618">
        <f t="shared" si="2"/>
        <v>10.509599999999999</v>
      </c>
      <c r="CC35" s="618">
        <f t="shared" si="1"/>
        <v>1.4468000000000003</v>
      </c>
      <c r="CF35" s="530"/>
      <c r="CG35" s="530"/>
      <c r="CJ35" s="531"/>
    </row>
    <row r="36" spans="1:88" x14ac:dyDescent="0.2">
      <c r="A36" s="2363" t="s">
        <v>245</v>
      </c>
      <c r="B36" s="2364"/>
      <c r="C36" s="2365"/>
      <c r="D36" s="590"/>
      <c r="E36" s="591"/>
      <c r="F36" s="592"/>
      <c r="G36" s="593"/>
      <c r="H36" s="575">
        <f>ROUND(SQRT(I36^2+J36^2)*1000/(SQRT(3)*I18),2)</f>
        <v>30.25</v>
      </c>
      <c r="I36" s="576">
        <v>0.50439999999999996</v>
      </c>
      <c r="J36" s="577">
        <v>0.14199999999999999</v>
      </c>
      <c r="K36" s="575">
        <f>ROUND(SQRT(L36^2+M36^2)*1000/(SQRT(3)*L18),2)</f>
        <v>29.31</v>
      </c>
      <c r="L36" s="576">
        <v>0.48720000000000002</v>
      </c>
      <c r="M36" s="577">
        <v>0.1424</v>
      </c>
      <c r="N36" s="575">
        <f>ROUND(SQRT(O36^2+P36^2)*1000/(SQRT(3)*O18),2)</f>
        <v>28.83</v>
      </c>
      <c r="O36" s="576">
        <v>0.47920000000000007</v>
      </c>
      <c r="P36" s="577">
        <v>0.1404</v>
      </c>
      <c r="Q36" s="575">
        <f>ROUND(SQRT(R36^2+S36^2)*1000/(SQRT(3)*R18),2)</f>
        <v>28.47</v>
      </c>
      <c r="R36" s="576">
        <v>0.4728</v>
      </c>
      <c r="S36" s="577">
        <v>0.14000000000000001</v>
      </c>
      <c r="T36" s="575">
        <f>ROUND(SQRT(U36^2+V36^2)*1000/(SQRT(3)*U18),2)</f>
        <v>28.54</v>
      </c>
      <c r="U36" s="576">
        <v>0.47439999999999999</v>
      </c>
      <c r="V36" s="577">
        <v>0.13880000000000001</v>
      </c>
      <c r="W36" s="575">
        <f>ROUND(SQRT(X36^2+Y36^2)*1000/(SQRT(3)*X18),2)</f>
        <v>28.78</v>
      </c>
      <c r="X36" s="576">
        <v>0.47960000000000003</v>
      </c>
      <c r="Y36" s="577">
        <v>0.13600000000000001</v>
      </c>
      <c r="Z36" s="575">
        <f>ROUND(SQRT(AA36^2+AB36^2)*1000/(SQRT(3)*AA18),2)</f>
        <v>32.26</v>
      </c>
      <c r="AA36" s="576">
        <v>0.54159999999999997</v>
      </c>
      <c r="AB36" s="577">
        <v>0.13760000000000003</v>
      </c>
      <c r="AC36" s="575">
        <f>ROUND(SQRT(AD36^2+AE36^2)*1000/(SQRT(3)*AD18),2)</f>
        <v>35.979999999999997</v>
      </c>
      <c r="AD36" s="576">
        <v>0.60839999999999994</v>
      </c>
      <c r="AE36" s="577">
        <v>0.1348</v>
      </c>
      <c r="AF36" s="575">
        <f>ROUND(SQRT(AG36^2+AH36^2)*1000/(SQRT(3)*AG18),2)</f>
        <v>38.64</v>
      </c>
      <c r="AG36" s="576">
        <v>0.65600000000000003</v>
      </c>
      <c r="AH36" s="577">
        <v>0.13240000000000002</v>
      </c>
      <c r="AI36" s="575">
        <f>ROUND(SQRT(AJ36^2+AK36^2)*1000/(SQRT(3)*AJ18),2)</f>
        <v>36.57</v>
      </c>
      <c r="AJ36" s="576">
        <v>0.61959999999999993</v>
      </c>
      <c r="AK36" s="577">
        <v>0.13159999999999999</v>
      </c>
      <c r="AL36" s="575">
        <f>ROUND(SQRT(AM36^2+AN36^2)*1000/(SQRT(3)*AM18),2)</f>
        <v>36.4</v>
      </c>
      <c r="AM36" s="576">
        <v>0.61599999999999999</v>
      </c>
      <c r="AN36" s="577">
        <v>0.13400000000000001</v>
      </c>
      <c r="AO36" s="575">
        <f>ROUND(SQRT(AP36^2+AQ36^2)*1000/(SQRT(3)*AP18),2)</f>
        <v>37.36</v>
      </c>
      <c r="AP36" s="576">
        <v>0.63200000000000001</v>
      </c>
      <c r="AQ36" s="577">
        <v>0.13880000000000001</v>
      </c>
      <c r="AR36" s="575">
        <f>ROUND(SQRT(AS36^2+AT36^2)*1000/(SQRT(3)*AS18),2)</f>
        <v>36.549999999999997</v>
      </c>
      <c r="AS36" s="576">
        <v>0.61760000000000004</v>
      </c>
      <c r="AT36" s="577">
        <v>0.13919999999999999</v>
      </c>
      <c r="AU36" s="575">
        <f>ROUND(SQRT(AV36^2+AW36^2)*1000/(SQRT(3)*AV18),2)</f>
        <v>36.200000000000003</v>
      </c>
      <c r="AV36" s="576">
        <v>0.61039999999999994</v>
      </c>
      <c r="AW36" s="577">
        <v>0.14319999999999999</v>
      </c>
      <c r="AX36" s="575">
        <f>ROUND(SQRT(AY36^2+AZ36^2)*1000/(SQRT(3)*AY18),2)</f>
        <v>35.33</v>
      </c>
      <c r="AY36" s="576">
        <v>0.59640000000000004</v>
      </c>
      <c r="AZ36" s="577">
        <v>0.1368</v>
      </c>
      <c r="BA36" s="575">
        <f>ROUND(SQRT(BB36^2+BC36^2)*1000/(SQRT(3)*BB18),2)</f>
        <v>35.76</v>
      </c>
      <c r="BB36" s="576">
        <v>0.60560000000000003</v>
      </c>
      <c r="BC36" s="577">
        <v>0.13</v>
      </c>
      <c r="BD36" s="575">
        <f>ROUND(SQRT(BE36^2+BF36^2)*1000/(SQRT(3)*BE18),2)</f>
        <v>35.76</v>
      </c>
      <c r="BE36" s="576">
        <v>0.60599999999999998</v>
      </c>
      <c r="BF36" s="577">
        <v>0.128</v>
      </c>
      <c r="BG36" s="575">
        <f>ROUND(SQRT(BH36^2+BI36^2)*1000/(SQRT(3)*BH18),2)</f>
        <v>35.78</v>
      </c>
      <c r="BH36" s="576">
        <v>0.60560000000000003</v>
      </c>
      <c r="BI36" s="577">
        <v>0.13119999999999998</v>
      </c>
      <c r="BJ36" s="575">
        <f>ROUND(SQRT(BK36^2+BL36^2)*1000/(SQRT(3)*BK18),2)</f>
        <v>38.36</v>
      </c>
      <c r="BK36" s="576">
        <v>0.65079999999999993</v>
      </c>
      <c r="BL36" s="577">
        <v>0.1336</v>
      </c>
      <c r="BM36" s="575">
        <f>ROUND(SQRT(BN36^2+BO36^2)*1000/(SQRT(3)*BN18),2)</f>
        <v>37.78</v>
      </c>
      <c r="BN36" s="576">
        <v>0.64</v>
      </c>
      <c r="BO36" s="577">
        <v>0.13600000000000001</v>
      </c>
      <c r="BP36" s="575">
        <f>ROUND(SQRT(BQ36^2+BR36^2)*1000/(SQRT(3)*BQ18),2)</f>
        <v>38.06</v>
      </c>
      <c r="BQ36" s="576">
        <v>0.64479999999999993</v>
      </c>
      <c r="BR36" s="577">
        <v>0.1368</v>
      </c>
      <c r="BS36" s="575">
        <f>ROUND(SQRT(BT36^2+BU36^2)*1000/(SQRT(3)*BT18),2)</f>
        <v>37.65</v>
      </c>
      <c r="BT36" s="576">
        <v>0.63760000000000006</v>
      </c>
      <c r="BU36" s="577">
        <v>0.1368</v>
      </c>
      <c r="BV36" s="575">
        <f>ROUND(SQRT(BW36^2+BX36^2)*1000/(SQRT(3)*BW18),2)</f>
        <v>34.659999999999997</v>
      </c>
      <c r="BW36" s="576">
        <v>0.58399999999999996</v>
      </c>
      <c r="BX36" s="577">
        <v>0.13880000000000001</v>
      </c>
      <c r="BY36" s="575">
        <f>ROUND(SQRT(BZ36^2+CA36^2)*1000/(SQRT(3)*BZ18),2)</f>
        <v>32.28</v>
      </c>
      <c r="BZ36" s="576">
        <v>0.54120000000000001</v>
      </c>
      <c r="CA36" s="577">
        <v>0.1404</v>
      </c>
      <c r="CB36" s="618">
        <f t="shared" si="2"/>
        <v>13.911200000000001</v>
      </c>
      <c r="CC36" s="618">
        <f t="shared" si="1"/>
        <v>3.2795999999999998</v>
      </c>
      <c r="CF36" s="530"/>
      <c r="CG36" s="530"/>
      <c r="CJ36" s="531"/>
    </row>
    <row r="37" spans="1:88" x14ac:dyDescent="0.2">
      <c r="A37" s="2363" t="s">
        <v>246</v>
      </c>
      <c r="B37" s="2364"/>
      <c r="C37" s="2365"/>
      <c r="D37" s="590"/>
      <c r="E37" s="591"/>
      <c r="F37" s="592"/>
      <c r="G37" s="593"/>
      <c r="H37" s="575">
        <f>ROUND(SQRT(I37^2+J37^2)*1000/(SQRT(3)*I20),2)</f>
        <v>13.47</v>
      </c>
      <c r="I37" s="576">
        <v>0.13519999999999999</v>
      </c>
      <c r="J37" s="577">
        <v>3.6400000000000002E-2</v>
      </c>
      <c r="K37" s="575">
        <f>ROUND(SQRT(L37^2+M37^2)*1000/(SQRT(3)*L20),2)</f>
        <v>10.69</v>
      </c>
      <c r="L37" s="576">
        <v>0.106</v>
      </c>
      <c r="M37" s="577">
        <v>3.32E-2</v>
      </c>
      <c r="N37" s="575">
        <f>ROUND(SQRT(O37^2+P37^2)*1000/(SQRT(3)*O20),2)</f>
        <v>10.66</v>
      </c>
      <c r="O37" s="576">
        <v>0.10519999999999999</v>
      </c>
      <c r="P37" s="577">
        <v>3.4799999999999998E-2</v>
      </c>
      <c r="Q37" s="575">
        <f>ROUND(SQRT(R37^2+S37^2)*1000/(SQRT(3)*R20),2)</f>
        <v>10.87</v>
      </c>
      <c r="R37" s="576">
        <v>0.1076</v>
      </c>
      <c r="S37" s="577">
        <v>3.4400000000000007E-2</v>
      </c>
      <c r="T37" s="575">
        <f>ROUND(SQRT(U37^2+V37^2)*1000/(SQRT(3)*U20),2)</f>
        <v>10.53</v>
      </c>
      <c r="U37" s="576">
        <v>0.104</v>
      </c>
      <c r="V37" s="577">
        <v>3.4000000000000002E-2</v>
      </c>
      <c r="W37" s="575">
        <f>ROUND(SQRT(X37^2+Y37^2)*1000/(SQRT(3)*X20),2)</f>
        <v>10.89</v>
      </c>
      <c r="X37" s="576">
        <v>0.1076</v>
      </c>
      <c r="Y37" s="577">
        <v>3.5200000000000002E-2</v>
      </c>
      <c r="Z37" s="575">
        <f>ROUND(SQRT(AA37^2+AB37^2)*1000/(SQRT(3)*AA20),2)</f>
        <v>12.08</v>
      </c>
      <c r="AA37" s="576">
        <v>0.1208</v>
      </c>
      <c r="AB37" s="577">
        <v>3.4000000000000002E-2</v>
      </c>
      <c r="AC37" s="575">
        <f>ROUND(SQRT(AD37^2+AE37^2)*1000/(SQRT(3)*AD20),2)</f>
        <v>12.97</v>
      </c>
      <c r="AD37" s="576">
        <v>0.13040000000000002</v>
      </c>
      <c r="AE37" s="577">
        <v>3.4000000000000002E-2</v>
      </c>
      <c r="AF37" s="575">
        <f>ROUND(SQRT(AG37^2+AH37^2)*1000/(SQRT(3)*AG20),2)</f>
        <v>12.92</v>
      </c>
      <c r="AG37" s="576">
        <v>0.13</v>
      </c>
      <c r="AH37" s="577">
        <v>3.3600000000000005E-2</v>
      </c>
      <c r="AI37" s="575">
        <f>ROUND(SQRT(AJ37^2+AK37^2)*1000/(SQRT(3)*AJ20),2)</f>
        <v>13.29</v>
      </c>
      <c r="AJ37" s="576">
        <v>0.13400000000000001</v>
      </c>
      <c r="AK37" s="577">
        <v>3.3599999999999991E-2</v>
      </c>
      <c r="AL37" s="575">
        <f>ROUND(SQRT(AM37^2+AN37^2)*1000/(SQRT(3)*AM20),2)</f>
        <v>12.71</v>
      </c>
      <c r="AM37" s="576">
        <v>0.12759999999999999</v>
      </c>
      <c r="AN37" s="577">
        <v>3.4000000000000002E-2</v>
      </c>
      <c r="AO37" s="575">
        <f>ROUND(SQRT(AP37^2+AQ37^2)*1000/(SQRT(3)*AP20),2)</f>
        <v>12.42</v>
      </c>
      <c r="AP37" s="576">
        <v>0.12440000000000001</v>
      </c>
      <c r="AQ37" s="577">
        <v>3.4400000000000007E-2</v>
      </c>
      <c r="AR37" s="575">
        <f>ROUND(SQRT(AS37^2+AT37^2)*1000/(SQRT(3)*AS20),2)</f>
        <v>12.19</v>
      </c>
      <c r="AS37" s="576">
        <v>0.122</v>
      </c>
      <c r="AT37" s="577">
        <v>3.4000000000000002E-2</v>
      </c>
      <c r="AU37" s="575">
        <f>ROUND(SQRT(AV37^2+AW37^2)*1000/(SQRT(3)*AV20),2)</f>
        <v>11.84</v>
      </c>
      <c r="AV37" s="576">
        <v>0.11840000000000001</v>
      </c>
      <c r="AW37" s="577">
        <v>3.3600000000000005E-2</v>
      </c>
      <c r="AX37" s="575">
        <f>ROUND(SQRT(AY37^2+AZ37^2)*1000/(SQRT(3)*AY20),2)</f>
        <v>11.73</v>
      </c>
      <c r="AY37" s="576">
        <v>0.11719999999999998</v>
      </c>
      <c r="AZ37" s="577">
        <v>3.3599999999999991E-2</v>
      </c>
      <c r="BA37" s="575">
        <f>ROUND(SQRT(BB37^2+BC37^2)*1000/(SQRT(3)*BB20),2)</f>
        <v>12.35</v>
      </c>
      <c r="BB37" s="576">
        <v>0.124</v>
      </c>
      <c r="BC37" s="577">
        <v>3.32E-2</v>
      </c>
      <c r="BD37" s="575">
        <f>ROUND(SQRT(BE37^2+BF37^2)*1000/(SQRT(3)*BE20),2)</f>
        <v>12.43</v>
      </c>
      <c r="BE37" s="576">
        <v>0.12479999999999999</v>
      </c>
      <c r="BF37" s="577">
        <v>3.32E-2</v>
      </c>
      <c r="BG37" s="575">
        <f>ROUND(SQRT(BH37^2+BI37^2)*1000/(SQRT(3)*BH20),2)</f>
        <v>14.35</v>
      </c>
      <c r="BH37" s="576">
        <v>0.14399999999999999</v>
      </c>
      <c r="BI37" s="577">
        <v>3.8799999999999994E-2</v>
      </c>
      <c r="BJ37" s="575">
        <f>ROUND(SQRT(BK37^2+BL37^2)*1000/(SQRT(3)*BK20),2)</f>
        <v>14.79</v>
      </c>
      <c r="BK37" s="576">
        <v>0.14959999999999998</v>
      </c>
      <c r="BL37" s="577">
        <v>3.5200000000000002E-2</v>
      </c>
      <c r="BM37" s="575">
        <f>ROUND(SQRT(BN37^2+BO37^2)*1000/(SQRT(3)*BN20),2)</f>
        <v>13.41</v>
      </c>
      <c r="BN37" s="576">
        <v>0.13519999999999999</v>
      </c>
      <c r="BO37" s="577">
        <v>3.3600000000000005E-2</v>
      </c>
      <c r="BP37" s="575">
        <f>ROUND(SQRT(BQ37^2+BR37^2)*1000/(SQRT(3)*BQ20),2)</f>
        <v>15.54</v>
      </c>
      <c r="BQ37" s="576">
        <v>0.15759999999999999</v>
      </c>
      <c r="BR37" s="577">
        <v>3.5200000000000002E-2</v>
      </c>
      <c r="BS37" s="575">
        <f>ROUND(SQRT(BT37^2+BU37^2)*1000/(SQRT(3)*BT20),2)</f>
        <v>16.190000000000001</v>
      </c>
      <c r="BT37" s="576">
        <v>0.16439999999999999</v>
      </c>
      <c r="BU37" s="577">
        <v>3.56E-2</v>
      </c>
      <c r="BV37" s="575">
        <f>ROUND(SQRT(BW37^2+BX37^2)*1000/(SQRT(3)*BW20),2)</f>
        <v>14.73</v>
      </c>
      <c r="BW37" s="576">
        <v>0.14880000000000002</v>
      </c>
      <c r="BX37" s="577">
        <v>3.5999999999999997E-2</v>
      </c>
      <c r="BY37" s="575">
        <f>ROUND(SQRT(BZ37^2+CA37^2)*1000/(SQRT(3)*BZ20),2)</f>
        <v>14.39</v>
      </c>
      <c r="BZ37" s="576">
        <v>0.14480000000000001</v>
      </c>
      <c r="CA37" s="577">
        <v>3.7200000000000004E-2</v>
      </c>
      <c r="CB37" s="618">
        <f t="shared" si="2"/>
        <v>3.0836000000000006</v>
      </c>
      <c r="CC37" s="618">
        <f t="shared" si="1"/>
        <v>0.83080000000000009</v>
      </c>
      <c r="CF37" s="530"/>
      <c r="CG37" s="530"/>
    </row>
    <row r="38" spans="1:88" x14ac:dyDescent="0.2">
      <c r="A38" s="2363" t="s">
        <v>247</v>
      </c>
      <c r="B38" s="2364"/>
      <c r="C38" s="2365"/>
      <c r="D38" s="580"/>
      <c r="E38" s="581"/>
      <c r="F38" s="581"/>
      <c r="G38" s="582"/>
      <c r="H38" s="575">
        <f>ROUND(SQRT(I38^2+J38^2)*1000/(SQRT(3)*I18),2)</f>
        <v>15.14</v>
      </c>
      <c r="I38" s="576">
        <v>0.25440000000000002</v>
      </c>
      <c r="J38" s="577">
        <v>6.359999999999999E-2</v>
      </c>
      <c r="K38" s="575">
        <f>ROUND(SQRT(L38^2+M38^2)*1000/(SQRT(3)*L18),2)</f>
        <v>14.48</v>
      </c>
      <c r="L38" s="576">
        <v>0.2432</v>
      </c>
      <c r="M38" s="577">
        <v>6.1600000000000002E-2</v>
      </c>
      <c r="N38" s="575">
        <f>ROUND(SQRT(O38^2+P38^2)*1000/(SQRT(3)*O18),2)</f>
        <v>14.08</v>
      </c>
      <c r="O38" s="576">
        <v>0.23639999999999997</v>
      </c>
      <c r="P38" s="577">
        <v>5.96E-2</v>
      </c>
      <c r="Q38" s="575">
        <f>ROUND(SQRT(R38^2+S38^2)*1000/(SQRT(3)*R18),2)</f>
        <v>14.01</v>
      </c>
      <c r="R38" s="576">
        <v>0.23480000000000001</v>
      </c>
      <c r="S38" s="577">
        <v>6.1200000000000004E-2</v>
      </c>
      <c r="T38" s="575">
        <f>ROUND(SQRT(U38^2+V38^2)*1000/(SQRT(3)*U18),2)</f>
        <v>14.24</v>
      </c>
      <c r="U38" s="576">
        <v>0.2392</v>
      </c>
      <c r="V38" s="577">
        <v>0.06</v>
      </c>
      <c r="W38" s="575">
        <f>ROUND(SQRT(X38^2+Y38^2)*1000/(SQRT(3)*X18),2)</f>
        <v>15.42</v>
      </c>
      <c r="X38" s="576">
        <v>0.26039999999999996</v>
      </c>
      <c r="Y38" s="577">
        <v>5.9200000000000003E-2</v>
      </c>
      <c r="Z38" s="575">
        <f>ROUND(SQRT(AA38^2+AB38^2)*1000/(SQRT(3)*AA18),2)</f>
        <v>16.77</v>
      </c>
      <c r="AA38" s="576">
        <v>0.28439999999999999</v>
      </c>
      <c r="AB38" s="577">
        <v>5.8799999999999998E-2</v>
      </c>
      <c r="AC38" s="575">
        <f>ROUND(SQRT(AD38^2+AE38^2)*1000/(SQRT(3)*AD18),2)</f>
        <v>17.850000000000001</v>
      </c>
      <c r="AD38" s="576">
        <v>0.30360000000000004</v>
      </c>
      <c r="AE38" s="577">
        <v>5.8799999999999998E-2</v>
      </c>
      <c r="AF38" s="575">
        <f>ROUND(SQRT(AG38^2+AH38^2)*1000/(SQRT(3)*AG18),2)</f>
        <v>18.22</v>
      </c>
      <c r="AG38" s="576">
        <v>0.31</v>
      </c>
      <c r="AH38" s="577">
        <v>5.8799999999999998E-2</v>
      </c>
      <c r="AI38" s="575">
        <f>ROUND(SQRT(AJ38^2+AK38^2)*1000/(SQRT(3)*AJ18),2)</f>
        <v>17.82</v>
      </c>
      <c r="AJ38" s="576">
        <v>0.30279999999999996</v>
      </c>
      <c r="AK38" s="577">
        <v>5.9599999999999993E-2</v>
      </c>
      <c r="AL38" s="575">
        <f>ROUND(SQRT(AM38^2+AN38^2)*1000/(SQRT(3)*AM18),2)</f>
        <v>17.36</v>
      </c>
      <c r="AM38" s="576">
        <v>0.29479999999999995</v>
      </c>
      <c r="AN38" s="577">
        <v>5.96E-2</v>
      </c>
      <c r="AO38" s="575">
        <f>ROUND(SQRT(AP38^2+AQ38^2)*1000/(SQRT(3)*AP18),2)</f>
        <v>17.05</v>
      </c>
      <c r="AP38" s="576">
        <v>0.28920000000000007</v>
      </c>
      <c r="AQ38" s="577">
        <v>5.96E-2</v>
      </c>
      <c r="AR38" s="575">
        <f>ROUND(SQRT(AS38^2+AT38^2)*1000/(SQRT(3)*AS18),2)</f>
        <v>18.07</v>
      </c>
      <c r="AS38" s="576">
        <v>0.30679999999999996</v>
      </c>
      <c r="AT38" s="577">
        <v>6.2E-2</v>
      </c>
      <c r="AU38" s="575">
        <f>ROUND(SQRT(AV38^2+AW38^2)*1000/(SQRT(3)*AV18),2)</f>
        <v>18.02</v>
      </c>
      <c r="AV38" s="576">
        <v>0.30599999999999999</v>
      </c>
      <c r="AW38" s="577">
        <v>6.1200000000000004E-2</v>
      </c>
      <c r="AX38" s="575">
        <f>ROUND(SQRT(AY38^2+AZ38^2)*1000/(SQRT(3)*AY18),2)</f>
        <v>17.940000000000001</v>
      </c>
      <c r="AY38" s="576">
        <v>0.30479999999999996</v>
      </c>
      <c r="AZ38" s="577">
        <v>6.08E-2</v>
      </c>
      <c r="BA38" s="575">
        <f>ROUND(SQRT(BB38^2+BC38^2)*1000/(SQRT(3)*BB18),2)</f>
        <v>17.739999999999998</v>
      </c>
      <c r="BB38" s="576">
        <v>0.30160000000000003</v>
      </c>
      <c r="BC38" s="577">
        <v>5.8799999999999998E-2</v>
      </c>
      <c r="BD38" s="575">
        <f>ROUND(SQRT(BE38^2+BF38^2)*1000/(SQRT(3)*BE18),2)</f>
        <v>18.79</v>
      </c>
      <c r="BE38" s="576">
        <v>0.32039999999999996</v>
      </c>
      <c r="BF38" s="577">
        <v>5.7200000000000001E-2</v>
      </c>
      <c r="BG38" s="575">
        <f>ROUND(SQRT(BH38^2+BI38^2)*1000/(SQRT(3)*BH18),2)</f>
        <v>19.02</v>
      </c>
      <c r="BH38" s="576">
        <v>0.32439999999999997</v>
      </c>
      <c r="BI38" s="577">
        <v>5.7599999999999991E-2</v>
      </c>
      <c r="BJ38" s="575">
        <f>ROUND(SQRT(BK38^2+BL38^2)*1000/(SQRT(3)*BK18),2)</f>
        <v>19.88</v>
      </c>
      <c r="BK38" s="576">
        <v>0.3392</v>
      </c>
      <c r="BL38" s="577">
        <v>5.8799999999999998E-2</v>
      </c>
      <c r="BM38" s="575">
        <f>ROUND(SQRT(BN38^2+BO38^2)*1000/(SQRT(3)*BN18),2)</f>
        <v>19.3</v>
      </c>
      <c r="BN38" s="576">
        <v>0.32879999999999998</v>
      </c>
      <c r="BO38" s="577">
        <v>0.06</v>
      </c>
      <c r="BP38" s="575">
        <f>ROUND(SQRT(BQ38^2+BR38^2)*1000/(SQRT(3)*BQ18),2)</f>
        <v>18.68</v>
      </c>
      <c r="BQ38" s="576">
        <v>0.318</v>
      </c>
      <c r="BR38" s="577">
        <v>0.06</v>
      </c>
      <c r="BS38" s="575">
        <f>ROUND(SQRT(BT38^2+BU38^2)*1000/(SQRT(3)*BT18),2)</f>
        <v>17.97</v>
      </c>
      <c r="BT38" s="576">
        <v>0.30519999999999997</v>
      </c>
      <c r="BU38" s="577">
        <v>6.08E-2</v>
      </c>
      <c r="BV38" s="575">
        <f>ROUND(SQRT(BW38^2+BX38^2)*1000/(SQRT(3)*BW18),2)</f>
        <v>17</v>
      </c>
      <c r="BW38" s="576">
        <v>0.28760000000000002</v>
      </c>
      <c r="BX38" s="577">
        <v>6.3200000000000006E-2</v>
      </c>
      <c r="BY38" s="575">
        <f>ROUND(SQRT(BZ38^2+CA38^2)*1000/(SQRT(3)*BZ18),2)</f>
        <v>15.79</v>
      </c>
      <c r="BZ38" s="576">
        <v>0.26600000000000001</v>
      </c>
      <c r="CA38" s="577">
        <v>6.3200000000000006E-2</v>
      </c>
      <c r="CB38" s="618">
        <f t="shared" si="2"/>
        <v>6.9619999999999989</v>
      </c>
      <c r="CC38" s="618">
        <f t="shared" si="1"/>
        <v>1.444</v>
      </c>
      <c r="CF38" s="530"/>
      <c r="CG38" s="530"/>
      <c r="CJ38" s="531"/>
    </row>
    <row r="39" spans="1:88" x14ac:dyDescent="0.2">
      <c r="A39" s="998" t="s">
        <v>248</v>
      </c>
      <c r="B39" s="999"/>
      <c r="C39" s="1000"/>
      <c r="D39" s="1001"/>
      <c r="E39" s="1002"/>
      <c r="F39" s="1002"/>
      <c r="G39" s="1003"/>
      <c r="H39" s="575">
        <f>ROUND(SQRT(I39^2+J39^2)*1000/(SQRT(3)*I18),2)</f>
        <v>0.14000000000000001</v>
      </c>
      <c r="I39" s="576">
        <v>0</v>
      </c>
      <c r="J39" s="577">
        <f>-1*-0.0024</f>
        <v>2.3999999999999998E-3</v>
      </c>
      <c r="K39" s="575">
        <f>ROUND(SQRT(L39^2+M39^2)*1000/(SQRT(3)*L18),2)</f>
        <v>0.16</v>
      </c>
      <c r="L39" s="576">
        <v>0</v>
      </c>
      <c r="M39" s="577">
        <f>-1*-0.0028</f>
        <v>2.8E-3</v>
      </c>
      <c r="N39" s="575">
        <f>ROUND(SQRT(O39^2+P39^2)*1000/(SQRT(3)*O18),2)</f>
        <v>0.16</v>
      </c>
      <c r="O39" s="576">
        <v>0</v>
      </c>
      <c r="P39" s="577">
        <f>-1*-0.0028</f>
        <v>2.8E-3</v>
      </c>
      <c r="Q39" s="575">
        <f>ROUND(SQRT(R39^2+S39^2)*1000/(SQRT(3)*R18),2)</f>
        <v>0.14000000000000001</v>
      </c>
      <c r="R39" s="576">
        <f>-1*-0.0004</f>
        <v>4.0000000000000002E-4</v>
      </c>
      <c r="S39" s="577">
        <f>-1*-0.0024</f>
        <v>2.3999999999999998E-3</v>
      </c>
      <c r="T39" s="575">
        <f>ROUND(SQRT(U39^2+V39^2)*1000/(SQRT(3)*U18),2)</f>
        <v>0.16</v>
      </c>
      <c r="U39" s="576">
        <v>0</v>
      </c>
      <c r="V39" s="577">
        <f>-1*-0.0028</f>
        <v>2.8E-3</v>
      </c>
      <c r="W39" s="575">
        <f>ROUND(SQRT(X39^2+Y39^2)*1000/(SQRT(3)*X18),2)</f>
        <v>0.16</v>
      </c>
      <c r="X39" s="576">
        <v>0</v>
      </c>
      <c r="Y39" s="577">
        <f>-1*-0.0028</f>
        <v>2.8E-3</v>
      </c>
      <c r="Z39" s="575">
        <f>ROUND(SQRT(AA39^2+AB39^2)*1000/(SQRT(3)*AA18),2)</f>
        <v>0.14000000000000001</v>
      </c>
      <c r="AA39" s="576">
        <v>0</v>
      </c>
      <c r="AB39" s="577">
        <f>-1*-0.0024</f>
        <v>2.3999999999999998E-3</v>
      </c>
      <c r="AC39" s="575">
        <f>ROUND(SQRT(AD39^2+AE39^2)*1000/(SQRT(3)*AD18),2)</f>
        <v>0.14000000000000001</v>
      </c>
      <c r="AD39" s="576">
        <v>0</v>
      </c>
      <c r="AE39" s="577">
        <f>-1*-0.0024</f>
        <v>2.3999999999999998E-3</v>
      </c>
      <c r="AF39" s="575">
        <f>ROUND(SQRT(AG39^2+AH39^2)*1000/(SQRT(3)*AG18),2)</f>
        <v>0.16</v>
      </c>
      <c r="AG39" s="576">
        <f>-1*-0.0004</f>
        <v>4.0000000000000002E-4</v>
      </c>
      <c r="AH39" s="577">
        <f>-1*-0.0028</f>
        <v>2.8E-3</v>
      </c>
      <c r="AI39" s="575">
        <f>ROUND(SQRT(AJ39^2+AK39^2)*1000/(SQRT(3)*AJ18),2)</f>
        <v>0.14000000000000001</v>
      </c>
      <c r="AJ39" s="576">
        <v>0</v>
      </c>
      <c r="AK39" s="577">
        <f>-1*-0.0024</f>
        <v>2.3999999999999998E-3</v>
      </c>
      <c r="AL39" s="575">
        <f>ROUND(SQRT(AM39^2+AN39^2)*1000/(SQRT(3)*AM18),2)</f>
        <v>0.16</v>
      </c>
      <c r="AM39" s="576">
        <v>0</v>
      </c>
      <c r="AN39" s="577">
        <f>-1*-0.0028</f>
        <v>2.8E-3</v>
      </c>
      <c r="AO39" s="575">
        <f>ROUND(SQRT(AP39^2+AQ39^2)*1000/(SQRT(3)*AP18),2)</f>
        <v>0.16</v>
      </c>
      <c r="AP39" s="576">
        <v>0</v>
      </c>
      <c r="AQ39" s="577">
        <f>-1*-0.0028</f>
        <v>2.8E-3</v>
      </c>
      <c r="AR39" s="575">
        <f>ROUND(SQRT(AS39^2+AT39^2)*1000/(SQRT(3)*AS18),2)</f>
        <v>0.12</v>
      </c>
      <c r="AS39" s="576">
        <v>0</v>
      </c>
      <c r="AT39" s="577">
        <f>-1*-0.002</f>
        <v>2E-3</v>
      </c>
      <c r="AU39" s="575">
        <f>ROUND(SQRT(AV39^2+AW39^2)*1000/(SQRT(3)*AV18),2)</f>
        <v>0.14000000000000001</v>
      </c>
      <c r="AV39" s="576">
        <f>-1*-0.0004</f>
        <v>4.0000000000000002E-4</v>
      </c>
      <c r="AW39" s="577">
        <f>-1*-0.0024</f>
        <v>2.3999999999999998E-3</v>
      </c>
      <c r="AX39" s="575">
        <f>ROUND(SQRT(AY39^2+AZ39^2)*1000/(SQRT(3)*AY18),2)</f>
        <v>0.16</v>
      </c>
      <c r="AY39" s="576">
        <v>0</v>
      </c>
      <c r="AZ39" s="577">
        <f>-1*-0.0028</f>
        <v>2.8E-3</v>
      </c>
      <c r="BA39" s="575">
        <f>ROUND(SQRT(BB39^2+BC39^2)*1000/(SQRT(3)*BB18),2)</f>
        <v>0.16</v>
      </c>
      <c r="BB39" s="576">
        <v>0</v>
      </c>
      <c r="BC39" s="577">
        <f>-1*-0.0028</f>
        <v>2.8E-3</v>
      </c>
      <c r="BD39" s="575">
        <f>ROUND(SQRT(BE39^2+BF39^2)*1000/(SQRT(3)*BE18),2)</f>
        <v>0.14000000000000001</v>
      </c>
      <c r="BE39" s="576">
        <v>0</v>
      </c>
      <c r="BF39" s="577">
        <f>-1*-0.0024</f>
        <v>2.3999999999999998E-3</v>
      </c>
      <c r="BG39" s="575">
        <f>ROUND(SQRT(BH39^2+BI39^2)*1000/(SQRT(3)*BH18),2)</f>
        <v>0.14000000000000001</v>
      </c>
      <c r="BH39" s="576">
        <v>0</v>
      </c>
      <c r="BI39" s="577">
        <f>-1*-0.0024</f>
        <v>2.3999999999999998E-3</v>
      </c>
      <c r="BJ39" s="575">
        <f>ROUND(SQRT(BK39^2+BL39^2)*1000/(SQRT(3)*BK18),2)</f>
        <v>0.14000000000000001</v>
      </c>
      <c r="BK39" s="576">
        <f>-1*-0.0004</f>
        <v>4.0000000000000002E-4</v>
      </c>
      <c r="BL39" s="577">
        <f>-1*-0.0024</f>
        <v>2.3999999999999998E-3</v>
      </c>
      <c r="BM39" s="575">
        <f>ROUND(SQRT(BN39^2+BO39^2)*1000/(SQRT(3)*BN18),2)</f>
        <v>0.16</v>
      </c>
      <c r="BN39" s="576">
        <v>0</v>
      </c>
      <c r="BO39" s="577">
        <f>-1*-0.0028</f>
        <v>2.8E-3</v>
      </c>
      <c r="BP39" s="575">
        <f>ROUND(SQRT(BQ39^2+BR39^2)*1000/(SQRT(3)*BQ18),2)</f>
        <v>0.14000000000000001</v>
      </c>
      <c r="BQ39" s="576">
        <v>0</v>
      </c>
      <c r="BR39" s="577">
        <f>-1*-0.0024</f>
        <v>2.3999999999999998E-3</v>
      </c>
      <c r="BS39" s="575">
        <f>ROUND(SQRT(BT39^2+BU39^2)*1000/(SQRT(3)*BT18),2)</f>
        <v>0.14000000000000001</v>
      </c>
      <c r="BT39" s="576">
        <v>0</v>
      </c>
      <c r="BU39" s="577">
        <f>-1*-0.0024</f>
        <v>2.3999999999999998E-3</v>
      </c>
      <c r="BV39" s="575">
        <f>ROUND(SQRT(BW39^2+BX39^2)*1000/(SQRT(3)*BW18),2)</f>
        <v>0.14000000000000001</v>
      </c>
      <c r="BW39" s="576">
        <v>0</v>
      </c>
      <c r="BX39" s="577">
        <f>-1*-0.0024</f>
        <v>2.3999999999999998E-3</v>
      </c>
      <c r="BY39" s="575">
        <f>ROUND(SQRT(BZ39^2+CA39^2)*1000/(SQRT(3)*BZ18),2)</f>
        <v>0.16</v>
      </c>
      <c r="BZ39" s="576">
        <v>0</v>
      </c>
      <c r="CA39" s="577">
        <f>-1*-0.0028</f>
        <v>2.8E-3</v>
      </c>
      <c r="CB39" s="618">
        <f>SUM(BZ39,BW39,BT39,BQ39,BN39,BK39,BH39,BE39,BB39,AY39,AV39,AS39,AP39,AM39,AJ39,AG39,AD39,AA39,X39,U39,R39,O39,L39,I39)</f>
        <v>1.6000000000000001E-3</v>
      </c>
      <c r="CC39" s="618">
        <f>SUM(CA39,BX39,BU39,BR39,BO39,BL39,BI39,BF39,BC39,AZ39,AW39,AT39,AQ39,AN39,AK39,AH39,AE39,AB39,Y39,V39,S39,P39,M39,J39)</f>
        <v>6.1599999999999974E-2</v>
      </c>
      <c r="CF39" s="530"/>
      <c r="CG39" s="530"/>
      <c r="CJ39" s="531"/>
    </row>
    <row r="40" spans="1:88" s="589" customFormat="1" ht="13.5" thickBot="1" x14ac:dyDescent="0.25">
      <c r="A40" s="2369" t="s">
        <v>233</v>
      </c>
      <c r="B40" s="2370"/>
      <c r="C40" s="2371"/>
      <c r="D40" s="989"/>
      <c r="E40" s="990"/>
      <c r="F40" s="990"/>
      <c r="G40" s="991"/>
      <c r="H40" s="992">
        <f t="shared" ref="H40:BS40" si="5">H36+H37+H38+H35+H39</f>
        <v>86.75</v>
      </c>
      <c r="I40" s="993">
        <f t="shared" si="5"/>
        <v>1.3699999999999999</v>
      </c>
      <c r="J40" s="993">
        <f t="shared" si="5"/>
        <v>0.31080000000000002</v>
      </c>
      <c r="K40" s="992">
        <f t="shared" si="5"/>
        <v>80.180000000000007</v>
      </c>
      <c r="L40" s="993">
        <f t="shared" si="5"/>
        <v>1.2747999999999999</v>
      </c>
      <c r="M40" s="993">
        <f t="shared" si="5"/>
        <v>0.29960000000000003</v>
      </c>
      <c r="N40" s="992">
        <f t="shared" si="5"/>
        <v>81.849999999999994</v>
      </c>
      <c r="O40" s="993">
        <f t="shared" si="5"/>
        <v>1.3028</v>
      </c>
      <c r="P40" s="993">
        <f t="shared" si="5"/>
        <v>0.30720000000000003</v>
      </c>
      <c r="Q40" s="992">
        <f t="shared" si="5"/>
        <v>78.649999999999991</v>
      </c>
      <c r="R40" s="993">
        <f t="shared" si="5"/>
        <v>1.2472000000000001</v>
      </c>
      <c r="S40" s="993">
        <f t="shared" si="5"/>
        <v>0.29800000000000004</v>
      </c>
      <c r="T40" s="992">
        <f t="shared" si="5"/>
        <v>80.5</v>
      </c>
      <c r="U40" s="993">
        <f t="shared" si="5"/>
        <v>1.2812000000000001</v>
      </c>
      <c r="V40" s="993">
        <f t="shared" si="5"/>
        <v>0.3004</v>
      </c>
      <c r="W40" s="992">
        <f t="shared" si="5"/>
        <v>81.31</v>
      </c>
      <c r="X40" s="993">
        <f t="shared" si="5"/>
        <v>1.2948</v>
      </c>
      <c r="Y40" s="993">
        <f t="shared" si="5"/>
        <v>0.29480000000000006</v>
      </c>
      <c r="Z40" s="992">
        <f t="shared" si="5"/>
        <v>87.62</v>
      </c>
      <c r="AA40" s="993">
        <f t="shared" si="5"/>
        <v>1.3992</v>
      </c>
      <c r="AB40" s="993">
        <f t="shared" si="5"/>
        <v>0.29600000000000004</v>
      </c>
      <c r="AC40" s="992">
        <f t="shared" si="5"/>
        <v>95.16</v>
      </c>
      <c r="AD40" s="993">
        <f t="shared" si="5"/>
        <v>1.5267999999999999</v>
      </c>
      <c r="AE40" s="993">
        <f t="shared" si="5"/>
        <v>0.29480000000000001</v>
      </c>
      <c r="AF40" s="992">
        <f t="shared" si="5"/>
        <v>95.28</v>
      </c>
      <c r="AG40" s="993">
        <f t="shared" si="5"/>
        <v>1.532</v>
      </c>
      <c r="AH40" s="993">
        <f t="shared" si="5"/>
        <v>0.28200000000000003</v>
      </c>
      <c r="AI40" s="992">
        <f t="shared" si="5"/>
        <v>94.070000000000007</v>
      </c>
      <c r="AJ40" s="993">
        <f t="shared" si="5"/>
        <v>1.5072000000000001</v>
      </c>
      <c r="AK40" s="993">
        <f t="shared" si="5"/>
        <v>0.2868</v>
      </c>
      <c r="AL40" s="992">
        <f t="shared" si="5"/>
        <v>91.47999999999999</v>
      </c>
      <c r="AM40" s="993">
        <f t="shared" si="5"/>
        <v>1.4647999999999999</v>
      </c>
      <c r="AN40" s="993">
        <f t="shared" si="5"/>
        <v>0.28960000000000008</v>
      </c>
      <c r="AO40" s="992">
        <f t="shared" si="5"/>
        <v>90.94</v>
      </c>
      <c r="AP40" s="993">
        <f t="shared" si="5"/>
        <v>1.4564000000000001</v>
      </c>
      <c r="AQ40" s="993">
        <f t="shared" si="5"/>
        <v>0.29360000000000003</v>
      </c>
      <c r="AR40" s="992">
        <f t="shared" si="5"/>
        <v>91.47</v>
      </c>
      <c r="AS40" s="993">
        <f t="shared" si="5"/>
        <v>1.4672000000000001</v>
      </c>
      <c r="AT40" s="993">
        <f t="shared" si="5"/>
        <v>0.29720000000000002</v>
      </c>
      <c r="AU40" s="992">
        <f t="shared" si="5"/>
        <v>89.28</v>
      </c>
      <c r="AV40" s="993">
        <f t="shared" si="5"/>
        <v>1.4312</v>
      </c>
      <c r="AW40" s="993">
        <f t="shared" si="5"/>
        <v>0.29560000000000003</v>
      </c>
      <c r="AX40" s="992">
        <f t="shared" si="5"/>
        <v>89.759999999999991</v>
      </c>
      <c r="AY40" s="993">
        <f t="shared" si="5"/>
        <v>1.4403999999999999</v>
      </c>
      <c r="AZ40" s="993">
        <f t="shared" si="5"/>
        <v>0.29320000000000002</v>
      </c>
      <c r="BA40" s="992">
        <f t="shared" si="5"/>
        <v>90.669999999999987</v>
      </c>
      <c r="BB40" s="993">
        <f t="shared" si="5"/>
        <v>1.4544000000000001</v>
      </c>
      <c r="BC40" s="993">
        <f t="shared" si="5"/>
        <v>0.28280000000000005</v>
      </c>
      <c r="BD40" s="992">
        <f t="shared" si="5"/>
        <v>91.21</v>
      </c>
      <c r="BE40" s="993">
        <f t="shared" si="5"/>
        <v>1.4647999999999999</v>
      </c>
      <c r="BF40" s="993">
        <f t="shared" si="5"/>
        <v>0.27560000000000001</v>
      </c>
      <c r="BG40" s="992">
        <f t="shared" si="5"/>
        <v>95.76</v>
      </c>
      <c r="BH40" s="993">
        <f t="shared" si="5"/>
        <v>1.5284</v>
      </c>
      <c r="BI40" s="993">
        <f t="shared" si="5"/>
        <v>0.29159999999999997</v>
      </c>
      <c r="BJ40" s="992">
        <f t="shared" si="5"/>
        <v>99.38000000000001</v>
      </c>
      <c r="BK40" s="993">
        <f t="shared" si="5"/>
        <v>1.5895999999999999</v>
      </c>
      <c r="BL40" s="993">
        <f t="shared" si="5"/>
        <v>0.29239999999999999</v>
      </c>
      <c r="BM40" s="992">
        <f t="shared" si="5"/>
        <v>95.6</v>
      </c>
      <c r="BN40" s="993">
        <f t="shared" si="5"/>
        <v>1.532</v>
      </c>
      <c r="BO40" s="993">
        <f t="shared" si="5"/>
        <v>0.29160000000000008</v>
      </c>
      <c r="BP40" s="992">
        <f t="shared" si="5"/>
        <v>97.09</v>
      </c>
      <c r="BQ40" s="993">
        <f t="shared" si="5"/>
        <v>1.5435999999999999</v>
      </c>
      <c r="BR40" s="993">
        <f t="shared" si="5"/>
        <v>0.2928</v>
      </c>
      <c r="BS40" s="992">
        <f t="shared" si="5"/>
        <v>96.44</v>
      </c>
      <c r="BT40" s="993">
        <f t="shared" ref="BT40:CA40" si="6">BT36+BT37+BT38+BT35+BT39</f>
        <v>1.5276000000000001</v>
      </c>
      <c r="BU40" s="993">
        <f t="shared" si="6"/>
        <v>0.29239999999999999</v>
      </c>
      <c r="BV40" s="992">
        <f t="shared" si="6"/>
        <v>92.94</v>
      </c>
      <c r="BW40" s="993">
        <f t="shared" si="6"/>
        <v>1.4732000000000001</v>
      </c>
      <c r="BX40" s="993">
        <f t="shared" si="6"/>
        <v>0.30480000000000002</v>
      </c>
      <c r="BY40" s="992">
        <f t="shared" si="6"/>
        <v>86.3</v>
      </c>
      <c r="BZ40" s="993">
        <f t="shared" si="6"/>
        <v>1.3584000000000001</v>
      </c>
      <c r="CA40" s="993">
        <f t="shared" si="6"/>
        <v>0.29920000000000002</v>
      </c>
      <c r="CB40" s="618">
        <f>SUM(BZ40,BW40,BT40,BQ40,BN40,BK40,BH40,BE40,BB40,AY40,AV40,AS40,AP40,AM40,AJ40,AG40,AD40,AA40,X40,U40,R40,O40,L40,I40)</f>
        <v>34.468000000000004</v>
      </c>
      <c r="CC40" s="618">
        <f>SUM(CA40,BX40,BU40,BR40,BO40,BL40,BI40,BF40,BC40,AZ40,AW40,AT40,AQ40,AN40,AK40,AH40,AE40,AB40,Y40,V40,S40,P40,M40,J40)</f>
        <v>7.0628000000000011</v>
      </c>
    </row>
    <row r="41" spans="1:88" ht="15.75" customHeight="1" thickBot="1" x14ac:dyDescent="0.25">
      <c r="A41" s="2306" t="s">
        <v>19</v>
      </c>
      <c r="B41" s="2307"/>
      <c r="C41" s="2307"/>
      <c r="D41" s="2307"/>
      <c r="E41" s="2307"/>
      <c r="F41" s="2307"/>
      <c r="G41" s="2308"/>
      <c r="H41" s="765"/>
      <c r="I41" s="766"/>
      <c r="J41" s="767"/>
      <c r="K41" s="765"/>
      <c r="L41" s="766"/>
      <c r="M41" s="767"/>
      <c r="N41" s="765"/>
      <c r="O41" s="766"/>
      <c r="P41" s="767"/>
      <c r="Q41" s="765"/>
      <c r="R41" s="766"/>
      <c r="S41" s="767"/>
      <c r="T41" s="765"/>
      <c r="U41" s="766"/>
      <c r="V41" s="767"/>
      <c r="W41" s="765"/>
      <c r="X41" s="766"/>
      <c r="Y41" s="767"/>
      <c r="Z41" s="765"/>
      <c r="AA41" s="766"/>
      <c r="AB41" s="767"/>
      <c r="AC41" s="765"/>
      <c r="AD41" s="766"/>
      <c r="AE41" s="767"/>
      <c r="AF41" s="765"/>
      <c r="AG41" s="766"/>
      <c r="AH41" s="767"/>
      <c r="AI41" s="765"/>
      <c r="AJ41" s="766"/>
      <c r="AK41" s="767"/>
      <c r="AL41" s="765"/>
      <c r="AM41" s="766"/>
      <c r="AN41" s="767"/>
      <c r="AO41" s="765"/>
      <c r="AP41" s="766"/>
      <c r="AQ41" s="767"/>
      <c r="AR41" s="765"/>
      <c r="AS41" s="766"/>
      <c r="AT41" s="767"/>
      <c r="AU41" s="765"/>
      <c r="AV41" s="766"/>
      <c r="AW41" s="767"/>
      <c r="AX41" s="765"/>
      <c r="AY41" s="766"/>
      <c r="AZ41" s="767"/>
      <c r="BA41" s="765"/>
      <c r="BB41" s="766"/>
      <c r="BC41" s="767"/>
      <c r="BD41" s="765"/>
      <c r="BE41" s="766"/>
      <c r="BF41" s="767"/>
      <c r="BG41" s="765"/>
      <c r="BH41" s="766"/>
      <c r="BI41" s="767"/>
      <c r="BJ41" s="765"/>
      <c r="BK41" s="766"/>
      <c r="BL41" s="767"/>
      <c r="BM41" s="765"/>
      <c r="BN41" s="766"/>
      <c r="BO41" s="767"/>
      <c r="BP41" s="765"/>
      <c r="BQ41" s="766"/>
      <c r="BR41" s="767"/>
      <c r="BS41" s="765"/>
      <c r="BT41" s="766"/>
      <c r="BU41" s="767"/>
      <c r="BV41" s="765"/>
      <c r="BW41" s="766"/>
      <c r="BX41" s="767"/>
      <c r="BY41" s="765"/>
      <c r="BZ41" s="766"/>
      <c r="CA41" s="767"/>
      <c r="CB41" s="982"/>
    </row>
    <row r="42" spans="1:88" ht="15" customHeight="1" x14ac:dyDescent="0.2">
      <c r="A42" s="768"/>
      <c r="B42" s="753" t="s">
        <v>22</v>
      </c>
      <c r="C42" s="769"/>
      <c r="D42" s="769" t="s">
        <v>202</v>
      </c>
      <c r="E42" s="769"/>
      <c r="F42" s="769"/>
      <c r="G42" s="770"/>
      <c r="H42" s="1004">
        <v>9.9299999999999996E-3</v>
      </c>
      <c r="I42" s="1005" t="s">
        <v>2</v>
      </c>
      <c r="J42" s="878">
        <v>4.9099999999999998E-2</v>
      </c>
      <c r="K42" s="1004"/>
      <c r="L42" s="1005"/>
      <c r="M42" s="878"/>
      <c r="N42" s="1004"/>
      <c r="O42" s="1005"/>
      <c r="P42" s="878"/>
      <c r="Q42" s="1004"/>
      <c r="R42" s="1005"/>
      <c r="S42" s="878"/>
      <c r="T42" s="1004"/>
      <c r="U42" s="1005"/>
      <c r="V42" s="878"/>
      <c r="W42" s="1004"/>
      <c r="X42" s="1005"/>
      <c r="Y42" s="878"/>
      <c r="Z42" s="1004"/>
      <c r="AA42" s="1005"/>
      <c r="AB42" s="878"/>
      <c r="AC42" s="1004"/>
      <c r="AD42" s="1005"/>
      <c r="AE42" s="878"/>
      <c r="AF42" s="1004"/>
      <c r="AG42" s="1005"/>
      <c r="AH42" s="878"/>
      <c r="AI42" s="1004"/>
      <c r="AJ42" s="1005"/>
      <c r="AK42" s="878"/>
      <c r="AL42" s="1004"/>
      <c r="AM42" s="1005"/>
      <c r="AN42" s="878"/>
      <c r="AO42" s="1004"/>
      <c r="AP42" s="1005"/>
      <c r="AQ42" s="878"/>
      <c r="AR42" s="1004"/>
      <c r="AS42" s="1005"/>
      <c r="AT42" s="878"/>
      <c r="AU42" s="1004"/>
      <c r="AV42" s="1005"/>
      <c r="AW42" s="878"/>
      <c r="AX42" s="1004"/>
      <c r="AY42" s="1005"/>
      <c r="AZ42" s="878"/>
      <c r="BA42" s="1004"/>
      <c r="BB42" s="1005"/>
      <c r="BC42" s="878"/>
      <c r="BD42" s="1004"/>
      <c r="BE42" s="1005"/>
      <c r="BF42" s="878"/>
      <c r="BG42" s="1004"/>
      <c r="BH42" s="1005"/>
      <c r="BI42" s="878"/>
      <c r="BJ42" s="1004"/>
      <c r="BK42" s="1005"/>
      <c r="BL42" s="878"/>
      <c r="BM42" s="1004"/>
      <c r="BN42" s="1005"/>
      <c r="BO42" s="878"/>
      <c r="BP42" s="1004"/>
      <c r="BQ42" s="1005"/>
      <c r="BR42" s="878"/>
      <c r="BS42" s="1004"/>
      <c r="BT42" s="1005"/>
      <c r="BU42" s="878"/>
      <c r="BV42" s="1004"/>
      <c r="BW42" s="1005"/>
      <c r="BX42" s="878"/>
      <c r="BY42" s="1004"/>
      <c r="BZ42" s="1005"/>
      <c r="CA42" s="878"/>
      <c r="CB42" s="982"/>
    </row>
    <row r="43" spans="1:88" ht="15" customHeight="1" x14ac:dyDescent="0.2">
      <c r="A43" s="771" t="s">
        <v>0</v>
      </c>
      <c r="B43" s="772" t="s">
        <v>23</v>
      </c>
      <c r="C43" s="773"/>
      <c r="D43" s="774" t="s">
        <v>24</v>
      </c>
      <c r="E43" s="774"/>
      <c r="F43" s="774"/>
      <c r="G43" s="775"/>
      <c r="H43" s="966">
        <f>(SUM(I$8*I$8,J$8*J$8)/POWER($C$7,2))*$C$44</f>
        <v>3.4025789329705217E-4</v>
      </c>
      <c r="I43" s="1005" t="s">
        <v>2</v>
      </c>
      <c r="J43" s="1006">
        <f>($E$44/100)*(SUM(I$8*I$8,J$8*J$8)/$C$7)</f>
        <v>5.0017910314666672E-3</v>
      </c>
      <c r="K43" s="966">
        <f>(SUM(L$8*L$8,M$8*M$8)/POWER($C$7,2))*$C$44</f>
        <v>3.1486708752834479E-4</v>
      </c>
      <c r="L43" s="1005" t="s">
        <v>2</v>
      </c>
      <c r="M43" s="1006">
        <f>($E$44/100)*(SUM(L$8*L$8,M$8*M$8)/$C$7)</f>
        <v>4.628546186666669E-3</v>
      </c>
      <c r="N43" s="966">
        <f>(SUM(O$8*O$8,P$8*P$8)/POWER($C$7,2))*$C$44</f>
        <v>3.1429312449886629E-4</v>
      </c>
      <c r="O43" s="1005" t="s">
        <v>2</v>
      </c>
      <c r="P43" s="1006">
        <f>($E$44/100)*(SUM(O$8*O$8,P$8*P$8)/$C$7)</f>
        <v>4.6201089301333353E-3</v>
      </c>
      <c r="Q43" s="966">
        <f>(SUM(R$8*R$8,S$8*S$8)/POWER($C$7,2))*$C$44</f>
        <v>3.0147478936961452E-4</v>
      </c>
      <c r="R43" s="1005" t="s">
        <v>2</v>
      </c>
      <c r="S43" s="1006">
        <f>($E$44/100)*(SUM(R$8*R$8,S$8*S$8)/$C$7)</f>
        <v>4.4316794037333332E-3</v>
      </c>
      <c r="T43" s="966">
        <f>(SUM(U$8*U$8,V$8*V$8)/POWER($C$7,2))*$C$44</f>
        <v>3.0111819152834468E-4</v>
      </c>
      <c r="U43" s="1005" t="s">
        <v>2</v>
      </c>
      <c r="V43" s="1006">
        <f>($E$44/100)*(SUM(U$8*U$8,V$8*V$8)/$C$7)</f>
        <v>4.4264374154666664E-3</v>
      </c>
      <c r="W43" s="966">
        <f>(SUM(X$8*X$8,Y$8*Y$8)/POWER($C$7,2))*$C$44</f>
        <v>3.3390489926530609E-4</v>
      </c>
      <c r="X43" s="1005" t="s">
        <v>2</v>
      </c>
      <c r="Y43" s="1006">
        <f>($E$44/100)*(SUM(X$8*X$8,Y$8*Y$8)/$C$7)</f>
        <v>4.9084020191999993E-3</v>
      </c>
      <c r="Z43" s="966">
        <f>(SUM(AA$8*AA$8,AB$8*AB$8)/POWER($C$7,2))*$C$44</f>
        <v>3.8664533159183664E-4</v>
      </c>
      <c r="AA43" s="1005" t="s">
        <v>2</v>
      </c>
      <c r="AB43" s="1006">
        <f>($E$44/100)*(SUM(AA$8*AA$8,AB$8*AB$8)/$C$7)</f>
        <v>5.6836863743999991E-3</v>
      </c>
      <c r="AC43" s="966">
        <f>(SUM(AD$8*AD$8,AE$8*AE$8)/POWER($C$7,2))*$C$44</f>
        <v>4.8791750951473925E-4</v>
      </c>
      <c r="AD43" s="1005" t="s">
        <v>2</v>
      </c>
      <c r="AE43" s="1006">
        <f>($E$44/100)*(SUM(AD$8*AD$8,AE$8*AE$8)/$C$7)</f>
        <v>7.1723873898666664E-3</v>
      </c>
      <c r="AF43" s="966">
        <f>(SUM(AG$8*AG$8,AH$8*AH$8)/POWER($C$7,2))*$C$44</f>
        <v>5.8058209908390022E-4</v>
      </c>
      <c r="AG43" s="1005" t="s">
        <v>2</v>
      </c>
      <c r="AH43" s="1006">
        <f>($E$44/100)*(SUM(AG$8*AG$8,AH$8*AH$8)/$C$7)</f>
        <v>8.5345568565333325E-3</v>
      </c>
      <c r="AI43" s="966">
        <f>(SUM(AJ$8*AJ$8,AK$8*AK$8)/POWER($C$7,2))*$C$44</f>
        <v>6.5860462468934271E-4</v>
      </c>
      <c r="AJ43" s="1005" t="s">
        <v>2</v>
      </c>
      <c r="AK43" s="1006">
        <f>($E$44/100)*(SUM(AJ$8*AJ$8,AK$8*AK$8)/$C$7)</f>
        <v>9.6814879829333362E-3</v>
      </c>
      <c r="AL43" s="966">
        <f>(SUM(AM$8*AM$8,AN$8*AN$8)/POWER($C$7,2))*$C$44</f>
        <v>6.8638760235827665E-4</v>
      </c>
      <c r="AM43" s="1005" t="s">
        <v>2</v>
      </c>
      <c r="AN43" s="1006">
        <f>($E$44/100)*(SUM(AM$8*AM$8,AN$8*AN$8)/$C$7)</f>
        <v>1.0089897754666665E-2</v>
      </c>
      <c r="AO43" s="966">
        <f>(SUM(AP$8*AP$8,AQ$8*AQ$8)/POWER($C$7,2))*$C$44</f>
        <v>6.857997891337867E-4</v>
      </c>
      <c r="AP43" s="1005" t="s">
        <v>2</v>
      </c>
      <c r="AQ43" s="1006">
        <f>($E$44/100)*(SUM(AP$8*AP$8,AQ$8*AQ$8)/$C$7)</f>
        <v>1.0081256900266665E-2</v>
      </c>
      <c r="AR43" s="966">
        <f>(SUM(AS$8*AS$8,AT$8*AT$8)/POWER($C$7,2))*$C$44</f>
        <v>6.6755282757369617E-4</v>
      </c>
      <c r="AS43" s="1005" t="s">
        <v>2</v>
      </c>
      <c r="AT43" s="1006">
        <f>($E$44/100)*(SUM(AS$8*AS$8,AT$8*AT$8)/$C$7)</f>
        <v>9.8130265653333347E-3</v>
      </c>
      <c r="AU43" s="966">
        <f>(SUM(AV$8*AV$8,AW$8*AW$8)/POWER($C$7,2))*$C$44</f>
        <v>6.6540752493424041E-4</v>
      </c>
      <c r="AV43" s="1005" t="s">
        <v>2</v>
      </c>
      <c r="AW43" s="1006">
        <f>($E$44/100)*(SUM(AV$8*AV$8,AW$8*AW$8)/$C$7)</f>
        <v>9.7814906165333334E-3</v>
      </c>
      <c r="AX43" s="966">
        <f>(SUM(AY$8*AY$8,AZ$8*AZ$8)/POWER($C$7,2))*$C$44</f>
        <v>6.5369141122902498E-4</v>
      </c>
      <c r="AY43" s="1005" t="s">
        <v>2</v>
      </c>
      <c r="AZ43" s="1006">
        <f>($E$44/100)*(SUM(AY$8*AY$8,AZ$8*AZ$8)/$C$7)</f>
        <v>9.6092637450666679E-3</v>
      </c>
      <c r="BA43" s="966">
        <f>(SUM(BB$8*BB$8,BC$8*BC$8)/POWER($C$7,2))*$C$44</f>
        <v>6.5015130964172347E-4</v>
      </c>
      <c r="BB43" s="1005" t="s">
        <v>2</v>
      </c>
      <c r="BC43" s="1006">
        <f>($E$44/100)*(SUM(BB$8*BB$8,BC$8*BC$8)/$C$7)</f>
        <v>9.5572242517333334E-3</v>
      </c>
      <c r="BD43" s="966">
        <f>(SUM(BE$8*BE$8,BF$8*BF$8)/POWER($C$7,2))*$C$44</f>
        <v>6.6178035787755121E-4</v>
      </c>
      <c r="BE43" s="1005" t="s">
        <v>2</v>
      </c>
      <c r="BF43" s="1006">
        <f>($E$44/100)*(SUM(BE$8*BE$8,BF$8*BF$8)/$C$7)</f>
        <v>9.7281712608000021E-3</v>
      </c>
      <c r="BG43" s="966">
        <f>(SUM(BH$8*BH$8,BI$8*BI$8)/POWER($C$7,2))*$C$44</f>
        <v>5.8612531816780032E-4</v>
      </c>
      <c r="BH43" s="1005" t="s">
        <v>2</v>
      </c>
      <c r="BI43" s="1006">
        <f>($E$44/100)*(SUM(BH$8*BH$8,BI$8*BI$8)/$C$7)</f>
        <v>8.616042177066666E-3</v>
      </c>
      <c r="BJ43" s="966">
        <f>(SUM(BK$8*BK$8,BL$8*BL$8)/POWER($C$7,2))*$C$44</f>
        <v>5.497923405351474E-4</v>
      </c>
      <c r="BK43" s="1005" t="s">
        <v>2</v>
      </c>
      <c r="BL43" s="1006">
        <f>($E$44/100)*(SUM(BK$8*BK$8,BL$8*BL$8)/$C$7)</f>
        <v>8.0819474058666674E-3</v>
      </c>
      <c r="BM43" s="966">
        <f>(SUM(BN$8*BN$8,BO$8*BO$8)/POWER($C$7,2))*$C$44</f>
        <v>5.0234043573696159E-4</v>
      </c>
      <c r="BN43" s="1005" t="s">
        <v>2</v>
      </c>
      <c r="BO43" s="1006">
        <f>($E$44/100)*(SUM(BN$8*BN$8,BO$8*BO$8)/$C$7)</f>
        <v>7.3844044053333353E-3</v>
      </c>
      <c r="BP43" s="966">
        <f>(SUM(BQ$8*BQ$8,BR$8*BR$8)/POWER($C$7,2))*$C$44</f>
        <v>4.6128771845805E-4</v>
      </c>
      <c r="BQ43" s="1005" t="s">
        <v>2</v>
      </c>
      <c r="BR43" s="1006">
        <f>($E$44/100)*(SUM(BQ$8*BQ$8,BR$8*BR$8)/$C$7)</f>
        <v>6.780929461333335E-3</v>
      </c>
      <c r="BS43" s="966">
        <f>(SUM(BT$8*BT$8,BU$8*BU$8)/POWER($C$7,2))*$C$44</f>
        <v>4.2952198073469401E-4</v>
      </c>
      <c r="BT43" s="1005" t="s">
        <v>2</v>
      </c>
      <c r="BU43" s="1006">
        <f>($E$44/100)*(SUM(BT$8*BT$8,BU$8*BU$8)/$C$7)</f>
        <v>6.3139731168000016E-3</v>
      </c>
      <c r="BV43" s="966">
        <f>(SUM(BW$8*BW$8,BX$8*BX$8)/POWER($C$7,2))*$C$44</f>
        <v>3.9256799100226763E-4</v>
      </c>
      <c r="BW43" s="1005" t="s">
        <v>2</v>
      </c>
      <c r="BX43" s="1006">
        <f>($E$44/100)*(SUM(BW$8*BW$8,BX$8*BX$8)/$C$7)</f>
        <v>5.7707494677333333E-3</v>
      </c>
      <c r="BY43" s="966">
        <f>(SUM(BZ$8*BZ$8,CA$8*CA$8)/POWER($C$7,2))*$C$44</f>
        <v>3.52797650213152E-4</v>
      </c>
      <c r="BZ43" s="1005" t="s">
        <v>2</v>
      </c>
      <c r="CA43" s="1006">
        <f>($E$44/100)*(SUM(BZ$8*BZ$8,CA$8*CA$8)/$C$7)</f>
        <v>5.1861254581333331E-3</v>
      </c>
      <c r="CB43" s="982"/>
    </row>
    <row r="44" spans="1:88" ht="14.25" customHeight="1" thickBot="1" x14ac:dyDescent="0.25">
      <c r="A44" s="771"/>
      <c r="B44" s="776" t="s">
        <v>26</v>
      </c>
      <c r="C44" s="777">
        <v>4.4999999999999998E-2</v>
      </c>
      <c r="D44" s="778" t="s">
        <v>27</v>
      </c>
      <c r="E44" s="2309">
        <v>10.5</v>
      </c>
      <c r="F44" s="2309"/>
      <c r="G44" s="779"/>
      <c r="H44" s="887"/>
      <c r="I44" s="1007"/>
      <c r="J44" s="1008"/>
      <c r="K44" s="887"/>
      <c r="L44" s="1007"/>
      <c r="M44" s="1008"/>
      <c r="N44" s="887"/>
      <c r="O44" s="1007"/>
      <c r="P44" s="1008"/>
      <c r="Q44" s="887"/>
      <c r="R44" s="1007"/>
      <c r="S44" s="1008"/>
      <c r="T44" s="887"/>
      <c r="U44" s="1007"/>
      <c r="V44" s="1008"/>
      <c r="W44" s="887"/>
      <c r="X44" s="1007"/>
      <c r="Y44" s="1008"/>
      <c r="Z44" s="887"/>
      <c r="AA44" s="1007"/>
      <c r="AB44" s="1008"/>
      <c r="AC44" s="887"/>
      <c r="AD44" s="1007"/>
      <c r="AE44" s="1008"/>
      <c r="AF44" s="887"/>
      <c r="AG44" s="1007"/>
      <c r="AH44" s="1008"/>
      <c r="AI44" s="887"/>
      <c r="AJ44" s="1007"/>
      <c r="AK44" s="1008"/>
      <c r="AL44" s="887"/>
      <c r="AM44" s="1007"/>
      <c r="AN44" s="1008"/>
      <c r="AO44" s="887"/>
      <c r="AP44" s="1007"/>
      <c r="AQ44" s="1008"/>
      <c r="AR44" s="887"/>
      <c r="AS44" s="1007"/>
      <c r="AT44" s="1008"/>
      <c r="AU44" s="887"/>
      <c r="AV44" s="1007"/>
      <c r="AW44" s="1008"/>
      <c r="AX44" s="887"/>
      <c r="AY44" s="1007"/>
      <c r="AZ44" s="1008"/>
      <c r="BA44" s="887"/>
      <c r="BB44" s="1007"/>
      <c r="BC44" s="1008"/>
      <c r="BD44" s="887"/>
      <c r="BE44" s="1007"/>
      <c r="BF44" s="1008"/>
      <c r="BG44" s="887"/>
      <c r="BH44" s="1007"/>
      <c r="BI44" s="1008"/>
      <c r="BJ44" s="887"/>
      <c r="BK44" s="1007"/>
      <c r="BL44" s="1008"/>
      <c r="BM44" s="887"/>
      <c r="BN44" s="1007"/>
      <c r="BO44" s="1008"/>
      <c r="BP44" s="887"/>
      <c r="BQ44" s="1007"/>
      <c r="BR44" s="1008"/>
      <c r="BS44" s="887"/>
      <c r="BT44" s="1007"/>
      <c r="BU44" s="1008"/>
      <c r="BV44" s="887"/>
      <c r="BW44" s="1007"/>
      <c r="BX44" s="1008"/>
      <c r="BY44" s="887"/>
      <c r="BZ44" s="1007"/>
      <c r="CA44" s="1008"/>
      <c r="CB44" s="982"/>
    </row>
    <row r="45" spans="1:88" ht="15" customHeight="1" thickBot="1" x14ac:dyDescent="0.25">
      <c r="A45" s="780"/>
      <c r="B45" s="2333" t="s">
        <v>29</v>
      </c>
      <c r="C45" s="2334"/>
      <c r="D45" s="2334"/>
      <c r="E45" s="2334"/>
      <c r="F45" s="2334"/>
      <c r="G45" s="2335"/>
      <c r="H45" s="891">
        <f>SUM(I8,$H$42,H43)</f>
        <v>0.53638225789329708</v>
      </c>
      <c r="I45" s="1009" t="s">
        <v>2</v>
      </c>
      <c r="J45" s="893">
        <f>SUM(J8,$J$42,J43)</f>
        <v>0.20678979103146666</v>
      </c>
      <c r="K45" s="891">
        <f>SUM(L8,$H$42,K43)</f>
        <v>0.51508486708752843</v>
      </c>
      <c r="L45" s="1009" t="s">
        <v>2</v>
      </c>
      <c r="M45" s="893">
        <f>SUM(M8,$J$42,M43)</f>
        <v>0.20488854618666669</v>
      </c>
      <c r="N45" s="891">
        <f>SUM(O8,$H$42,N43)</f>
        <v>0.51511629312449891</v>
      </c>
      <c r="O45" s="1009" t="s">
        <v>2</v>
      </c>
      <c r="P45" s="893">
        <f>SUM(P8,$J$42,P43)</f>
        <v>0.20308810893013335</v>
      </c>
      <c r="Q45" s="891">
        <f>SUM(R8,$H$42,Q43)</f>
        <v>0.50323147478936958</v>
      </c>
      <c r="R45" s="1009" t="s">
        <v>2</v>
      </c>
      <c r="S45" s="893">
        <f>SUM(S8,$J$42,S43)</f>
        <v>0.20469967940373332</v>
      </c>
      <c r="T45" s="891">
        <f>SUM(U8,$H$42,T43)</f>
        <v>0.5039831181915283</v>
      </c>
      <c r="U45" s="1009" t="s">
        <v>2</v>
      </c>
      <c r="V45" s="893">
        <f>SUM(V8,$J$42,V43)</f>
        <v>0.20115843741546666</v>
      </c>
      <c r="W45" s="891">
        <f>SUM(X8,$H$42,W43)</f>
        <v>0.53187990489926529</v>
      </c>
      <c r="X45" s="1009" t="s">
        <v>2</v>
      </c>
      <c r="Y45" s="893">
        <f>SUM(Y8,$J$42,Y43)</f>
        <v>0.20374440201919999</v>
      </c>
      <c r="Z45" s="891">
        <f>SUM(AA8,$H$42,Z43)</f>
        <v>0.57599664533159178</v>
      </c>
      <c r="AA45" s="1009" t="s">
        <v>2</v>
      </c>
      <c r="AB45" s="893">
        <f>SUM(AB8,$J$42,AB43)</f>
        <v>0.19979168637440003</v>
      </c>
      <c r="AC45" s="891">
        <f>SUM(AD8,$H$42,AC43)</f>
        <v>0.65159391750951468</v>
      </c>
      <c r="AD45" s="1009" t="s">
        <v>2</v>
      </c>
      <c r="AE45" s="893">
        <f>SUM(AE8,$J$42,AE43)</f>
        <v>0.19496838738986669</v>
      </c>
      <c r="AF45" s="891">
        <f>SUM(AG8,$H$42,AF43)</f>
        <v>0.71148658209908389</v>
      </c>
      <c r="AG45" s="1009" t="s">
        <v>2</v>
      </c>
      <c r="AH45" s="893">
        <f>SUM(AH8,$J$42,AH43)</f>
        <v>0.20153055685653332</v>
      </c>
      <c r="AI45" s="891">
        <f>SUM(AJ8,$H$42,AI43)</f>
        <v>0.75898860462468942</v>
      </c>
      <c r="AJ45" s="1009" t="s">
        <v>2</v>
      </c>
      <c r="AK45" s="893">
        <f>SUM(AK8,$J$42,AK43)</f>
        <v>0.20295748798293334</v>
      </c>
      <c r="AL45" s="891">
        <f>SUM(AM8,$H$42,AL43)</f>
        <v>0.7739683876023582</v>
      </c>
      <c r="AM45" s="1009" t="s">
        <v>2</v>
      </c>
      <c r="AN45" s="893">
        <f>SUM(AN8,$J$42,AN43)</f>
        <v>0.20981389775466669</v>
      </c>
      <c r="AO45" s="891">
        <f>SUM(AP8,$H$42,AO43)</f>
        <v>0.77309579978913368</v>
      </c>
      <c r="AP45" s="1009" t="s">
        <v>2</v>
      </c>
      <c r="AQ45" s="893">
        <f>SUM(AQ8,$J$42,AQ43)</f>
        <v>0.2124772569002667</v>
      </c>
      <c r="AR45" s="891">
        <f>SUM(AS8,$H$42,AR43)</f>
        <v>0.76312555282757366</v>
      </c>
      <c r="AS45" s="1009" t="s">
        <v>2</v>
      </c>
      <c r="AT45" s="893">
        <f>SUM(AT8,$J$42,AT43)</f>
        <v>0.20885702656533334</v>
      </c>
      <c r="AU45" s="891">
        <f>SUM(AV8,$H$42,AU43)</f>
        <v>0.76237940752493427</v>
      </c>
      <c r="AV45" s="1009" t="s">
        <v>2</v>
      </c>
      <c r="AW45" s="893">
        <f>SUM(AW8,$J$42,AW43)</f>
        <v>0.20622549061653334</v>
      </c>
      <c r="AX45" s="891">
        <f>SUM(AY8,$H$42,AX43)</f>
        <v>0.75573569141122909</v>
      </c>
      <c r="AY45" s="1009" t="s">
        <v>2</v>
      </c>
      <c r="AZ45" s="893">
        <f>SUM(AZ8,$J$42,AZ43)</f>
        <v>0.20466926374506667</v>
      </c>
      <c r="BA45" s="891">
        <f>SUM(BB8,$H$42,BA43)</f>
        <v>0.75418015130964178</v>
      </c>
      <c r="BB45" s="1009" t="s">
        <v>2</v>
      </c>
      <c r="BC45" s="893">
        <f>SUM(BC8,$J$42,BC43)</f>
        <v>0.20180922425173334</v>
      </c>
      <c r="BD45" s="891">
        <f>SUM(BE8,$H$42,BD43)</f>
        <v>0.76090378035787765</v>
      </c>
      <c r="BE45" s="1009" t="s">
        <v>2</v>
      </c>
      <c r="BF45" s="893">
        <f>SUM(BF8,$J$42,BF43)</f>
        <v>0.2027801712608</v>
      </c>
      <c r="BG45" s="891">
        <f>SUM(BH8,$H$42,BG43)</f>
        <v>0.71548412531816774</v>
      </c>
      <c r="BH45" s="1009" t="s">
        <v>2</v>
      </c>
      <c r="BI45" s="893">
        <f>SUM(BI8,$J$42,BI43)</f>
        <v>0.19907604217706665</v>
      </c>
      <c r="BJ45" s="891">
        <f>SUM(BK8,$H$42,BJ43)</f>
        <v>0.69165579234053509</v>
      </c>
      <c r="BK45" s="1009" t="s">
        <v>2</v>
      </c>
      <c r="BL45" s="893">
        <f>SUM(BL8,$J$42,BL43)</f>
        <v>0.20180594740586669</v>
      </c>
      <c r="BM45" s="891">
        <f>SUM(BN8,$H$42,BM43)</f>
        <v>0.66213634043573699</v>
      </c>
      <c r="BN45" s="1009" t="s">
        <v>2</v>
      </c>
      <c r="BO45" s="893">
        <f>SUM(BO8,$J$42,BO43)</f>
        <v>0.19193240440533335</v>
      </c>
      <c r="BP45" s="891">
        <f>SUM(BQ8,$H$42,BP43)</f>
        <v>0.63348728771845819</v>
      </c>
      <c r="BQ45" s="1009" t="s">
        <v>2</v>
      </c>
      <c r="BR45" s="893">
        <f>SUM(BR8,$J$42,BR43)</f>
        <v>0.1922889294613333</v>
      </c>
      <c r="BS45" s="891">
        <f>SUM(BT8,$H$42,BS43)</f>
        <v>0.60992752198073474</v>
      </c>
      <c r="BT45" s="1009" t="s">
        <v>2</v>
      </c>
      <c r="BU45" s="893">
        <f>SUM(BU8,$J$42,BU43)</f>
        <v>0.19454197311679999</v>
      </c>
      <c r="BV45" s="891">
        <f>SUM(BW8,$H$42,BV43)</f>
        <v>0.58273056799100231</v>
      </c>
      <c r="BW45" s="1009" t="s">
        <v>2</v>
      </c>
      <c r="BX45" s="893">
        <f>SUM(BX8,$J$42,BX43)</f>
        <v>0.19123074946773336</v>
      </c>
      <c r="BY45" s="891">
        <f>SUM(BZ8,$H$42,BY43)</f>
        <v>0.54881079765021312</v>
      </c>
      <c r="BZ45" s="1009" t="s">
        <v>2</v>
      </c>
      <c r="CA45" s="893">
        <f>SUM(CA8,$J$42,CA43)</f>
        <v>0.19973412545813332</v>
      </c>
      <c r="CB45" s="982"/>
    </row>
    <row r="46" spans="1:88" x14ac:dyDescent="0.2">
      <c r="A46" s="768"/>
      <c r="B46" s="753" t="s">
        <v>22</v>
      </c>
      <c r="C46" s="769"/>
      <c r="D46" s="769" t="s">
        <v>202</v>
      </c>
      <c r="E46" s="769"/>
      <c r="F46" s="769"/>
      <c r="G46" s="770"/>
      <c r="H46" s="1004">
        <v>9.7900000000000001E-3</v>
      </c>
      <c r="I46" s="1010"/>
      <c r="J46" s="878">
        <v>4.9099999999999998E-2</v>
      </c>
      <c r="K46" s="1004">
        <v>9.7900000000000001E-3</v>
      </c>
      <c r="L46" s="1010"/>
      <c r="M46" s="878">
        <v>4.9099999999999998E-2</v>
      </c>
      <c r="N46" s="1004">
        <v>9.7900000000000001E-3</v>
      </c>
      <c r="O46" s="1010"/>
      <c r="P46" s="878">
        <v>4.9099999999999998E-2</v>
      </c>
      <c r="Q46" s="1004">
        <v>9.7900000000000001E-3</v>
      </c>
      <c r="R46" s="1010"/>
      <c r="S46" s="878">
        <v>4.9099999999999998E-2</v>
      </c>
      <c r="T46" s="1004">
        <v>9.7900000000000001E-3</v>
      </c>
      <c r="U46" s="1010"/>
      <c r="V46" s="878">
        <v>4.9099999999999998E-2</v>
      </c>
      <c r="W46" s="1004">
        <v>9.7900000000000001E-3</v>
      </c>
      <c r="X46" s="1010"/>
      <c r="Y46" s="878">
        <v>4.9099999999999998E-2</v>
      </c>
      <c r="Z46" s="1004">
        <v>9.7900000000000001E-3</v>
      </c>
      <c r="AA46" s="1010"/>
      <c r="AB46" s="878">
        <v>4.9099999999999998E-2</v>
      </c>
      <c r="AC46" s="1004">
        <v>9.7900000000000001E-3</v>
      </c>
      <c r="AD46" s="1010"/>
      <c r="AE46" s="878">
        <v>4.9099999999999998E-2</v>
      </c>
      <c r="AF46" s="1004">
        <v>9.7900000000000001E-3</v>
      </c>
      <c r="AG46" s="1010"/>
      <c r="AH46" s="878">
        <v>4.9099999999999998E-2</v>
      </c>
      <c r="AI46" s="1004">
        <v>9.7900000000000001E-3</v>
      </c>
      <c r="AJ46" s="1010"/>
      <c r="AK46" s="878">
        <v>4.9099999999999998E-2</v>
      </c>
      <c r="AL46" s="1004">
        <v>9.7900000000000001E-3</v>
      </c>
      <c r="AM46" s="1010"/>
      <c r="AN46" s="878">
        <v>4.9099999999999998E-2</v>
      </c>
      <c r="AO46" s="1004">
        <v>9.7900000000000001E-3</v>
      </c>
      <c r="AP46" s="1010"/>
      <c r="AQ46" s="878">
        <v>4.9099999999999998E-2</v>
      </c>
      <c r="AR46" s="1004">
        <v>9.7900000000000001E-3</v>
      </c>
      <c r="AS46" s="1010"/>
      <c r="AT46" s="878">
        <v>4.9099999999999998E-2</v>
      </c>
      <c r="AU46" s="1004">
        <v>9.7900000000000001E-3</v>
      </c>
      <c r="AV46" s="1010"/>
      <c r="AW46" s="878">
        <v>4.9099999999999998E-2</v>
      </c>
      <c r="AX46" s="1004">
        <v>9.7900000000000001E-3</v>
      </c>
      <c r="AY46" s="1010"/>
      <c r="AZ46" s="878">
        <v>4.9099999999999998E-2</v>
      </c>
      <c r="BA46" s="1004">
        <v>9.7900000000000001E-3</v>
      </c>
      <c r="BB46" s="1010"/>
      <c r="BC46" s="878">
        <v>4.9099999999999998E-2</v>
      </c>
      <c r="BD46" s="1004">
        <v>9.7900000000000001E-3</v>
      </c>
      <c r="BE46" s="1010"/>
      <c r="BF46" s="878">
        <v>4.9099999999999998E-2</v>
      </c>
      <c r="BG46" s="1004">
        <v>9.7900000000000001E-3</v>
      </c>
      <c r="BH46" s="1010"/>
      <c r="BI46" s="878">
        <v>4.9099999999999998E-2</v>
      </c>
      <c r="BJ46" s="1004">
        <v>9.7900000000000001E-3</v>
      </c>
      <c r="BK46" s="1010"/>
      <c r="BL46" s="878">
        <v>4.9099999999999998E-2</v>
      </c>
      <c r="BM46" s="1004">
        <v>9.7900000000000001E-3</v>
      </c>
      <c r="BN46" s="1010"/>
      <c r="BO46" s="878">
        <v>4.9099999999999998E-2</v>
      </c>
      <c r="BP46" s="1004">
        <v>9.7900000000000001E-3</v>
      </c>
      <c r="BQ46" s="1010"/>
      <c r="BR46" s="878">
        <v>4.9099999999999998E-2</v>
      </c>
      <c r="BS46" s="1004">
        <v>9.7900000000000001E-3</v>
      </c>
      <c r="BT46" s="1010"/>
      <c r="BU46" s="878">
        <v>4.9099999999999998E-2</v>
      </c>
      <c r="BV46" s="1004">
        <v>9.7900000000000001E-3</v>
      </c>
      <c r="BW46" s="1010"/>
      <c r="BX46" s="878">
        <v>4.9099999999999998E-2</v>
      </c>
      <c r="BY46" s="1004">
        <v>9.7900000000000001E-3</v>
      </c>
      <c r="BZ46" s="1010"/>
      <c r="CA46" s="878">
        <v>4.9099999999999998E-2</v>
      </c>
      <c r="CB46" s="982"/>
    </row>
    <row r="47" spans="1:88" ht="12.75" customHeight="1" x14ac:dyDescent="0.2">
      <c r="A47" s="781" t="s">
        <v>1</v>
      </c>
      <c r="B47" s="772" t="s">
        <v>23</v>
      </c>
      <c r="C47" s="773"/>
      <c r="D47" s="774" t="s">
        <v>24</v>
      </c>
      <c r="E47" s="774"/>
      <c r="F47" s="774"/>
      <c r="G47" s="775"/>
      <c r="H47" s="966">
        <f>(SUM(I$15*I$15,J$15*J$15)/POWER($C$14,2))*$C$48</f>
        <v>2.2391332832653057E-3</v>
      </c>
      <c r="I47" s="1005" t="s">
        <v>2</v>
      </c>
      <c r="J47" s="1006">
        <f>($E$48/100)*(SUM(I$15*I$15,J$15*J$15)/$C$14)</f>
        <v>3.2915259263999998E-2</v>
      </c>
      <c r="K47" s="966">
        <f>(SUM(L$15*L$15,M$15*M$15)/POWER($C$14,2))*$C$48</f>
        <v>1.9453423566077092E-3</v>
      </c>
      <c r="L47" s="1005" t="s">
        <v>2</v>
      </c>
      <c r="M47" s="1006">
        <f>($E$48/100)*(SUM(L$15*L$15,M$15*M$15)/$C$14)</f>
        <v>2.8596532642133323E-2</v>
      </c>
      <c r="N47" s="966">
        <f>(SUM(O$15*O$15,P$15*P$15)/POWER($C$14,2))*$C$48</f>
        <v>2.0328585035464856E-3</v>
      </c>
      <c r="O47" s="1005" t="s">
        <v>2</v>
      </c>
      <c r="P47" s="1006">
        <f>($E$48/100)*(SUM(O$15*O$15,P$15*P$15)/$C$14)</f>
        <v>2.9883020002133335E-2</v>
      </c>
      <c r="Q47" s="966">
        <f>(SUM(R$15*R$15,S$15*S$15)/POWER($C$14,2))*$C$48</f>
        <v>1.8654678392743766E-3</v>
      </c>
      <c r="R47" s="1005" t="s">
        <v>2</v>
      </c>
      <c r="S47" s="1006">
        <f>($E$48/100)*(SUM(R$15*R$15,S$15*S$15)/$C$14)</f>
        <v>2.7422377237333328E-2</v>
      </c>
      <c r="T47" s="966">
        <f>(SUM(U$15*U$15,V$15*V$15)/POWER($C$14,2))*$C$48</f>
        <v>1.9647166246893433E-3</v>
      </c>
      <c r="U47" s="1005" t="s">
        <v>2</v>
      </c>
      <c r="V47" s="1006">
        <f>($E$48/100)*(SUM(U$15*U$15,V$15*V$15)/$C$14)</f>
        <v>2.8881334382933343E-2</v>
      </c>
      <c r="W47" s="966">
        <f>(SUM(X$15*X$15,Y$15*Y$15)/POWER($C$14,2))*$C$48</f>
        <v>2.0006607661859411E-3</v>
      </c>
      <c r="X47" s="1005" t="s">
        <v>2</v>
      </c>
      <c r="Y47" s="1006">
        <f>($E$48/100)*(SUM(X$15*X$15,Y$15*Y$15)/$C$14)</f>
        <v>2.9409713262933332E-2</v>
      </c>
      <c r="Z47" s="966">
        <f>(SUM(AA$15*AA$15,AB$15*AB$15)/POWER($C$14,2))*$C$48</f>
        <v>2.3202670085804983E-3</v>
      </c>
      <c r="AA47" s="1005" t="s">
        <v>2</v>
      </c>
      <c r="AB47" s="1006">
        <f>($E$48/100)*(SUM(AA$15*AA$15,AB$15*AB$15)/$C$14)</f>
        <v>3.4107925026133329E-2</v>
      </c>
      <c r="AC47" s="966">
        <f>(SUM(AD$15*AD$15,AE$15*AE$15)/POWER($C$14,2))*$C$48</f>
        <v>2.7432510978321997E-3</v>
      </c>
      <c r="AD47" s="1005" t="s">
        <v>2</v>
      </c>
      <c r="AE47" s="1006">
        <f>($E$48/100)*(SUM(AD$15*AD$15,AE$15*AE$15)/$C$14)</f>
        <v>4.0325791138133331E-2</v>
      </c>
      <c r="AF47" s="966">
        <f>(SUM(AG$15*AG$15,AH$15*AH$15)/POWER($C$14,2))*$C$48</f>
        <v>2.7526042311111108E-3</v>
      </c>
      <c r="AG47" s="1005" t="s">
        <v>2</v>
      </c>
      <c r="AH47" s="1006">
        <f>($E$48/100)*(SUM(AG$15*AG$15,AH$15*AH$15)/$C$14)</f>
        <v>4.0463282197333326E-2</v>
      </c>
      <c r="AI47" s="966">
        <f>(SUM(AJ$15*AJ$15,AK$15*AK$15)/POWER($C$14,2))*$C$48</f>
        <v>2.6704694790385488E-3</v>
      </c>
      <c r="AJ47" s="1005" t="s">
        <v>2</v>
      </c>
      <c r="AK47" s="1006">
        <f>($E$48/100)*(SUM(AJ$15*AJ$15,AK$15*AK$15)/$C$14)</f>
        <v>3.925590134186667E-2</v>
      </c>
      <c r="AL47" s="966">
        <f>(SUM(AM$15*AM$15,AN$15*AN$15)/POWER($C$14,2))*$C$48</f>
        <v>2.5291666796553288E-3</v>
      </c>
      <c r="AM47" s="1005" t="s">
        <v>2</v>
      </c>
      <c r="AN47" s="1006">
        <f>($E$48/100)*(SUM(AM$15*AM$15,AN$15*AN$15)/$C$14)</f>
        <v>3.7178750190933328E-2</v>
      </c>
      <c r="AO47" s="966">
        <f>(SUM(AP$15*AP$15,AQ$15*AQ$15)/POWER($C$14,2))*$C$48</f>
        <v>2.5043749839818602E-3</v>
      </c>
      <c r="AP47" s="1005" t="s">
        <v>2</v>
      </c>
      <c r="AQ47" s="1006">
        <f>($E$48/100)*(SUM(AP$15*AP$15,AQ$15*AQ$15)/$C$14)</f>
        <v>3.6814312264533341E-2</v>
      </c>
      <c r="AR47" s="966">
        <f>(SUM(AS$15*AS$15,AT$15*AT$15)/POWER($C$14,2))*$C$48</f>
        <v>2.5422276629478461E-3</v>
      </c>
      <c r="AS47" s="1005" t="s">
        <v>2</v>
      </c>
      <c r="AT47" s="1006">
        <f>($E$48/100)*(SUM(AS$15*AS$15,AT$15*AT$15)/$C$14)</f>
        <v>3.7370746645333339E-2</v>
      </c>
      <c r="AU47" s="966">
        <f>(SUM(AV$15*AV$15,AW$15*AW$15)/POWER($C$14,2))*$C$48</f>
        <v>2.4228681784308394E-3</v>
      </c>
      <c r="AV47" s="1005" t="s">
        <v>2</v>
      </c>
      <c r="AW47" s="1006">
        <f>($E$48/100)*(SUM(AV$15*AV$15,AW$15*AW$15)/$C$14)</f>
        <v>3.5616162222933331E-2</v>
      </c>
      <c r="AX47" s="966">
        <f>(SUM(AY$15*AY$15,AZ$15*AZ$15)/POWER($C$14,2))*$C$48</f>
        <v>2.4512867015691608E-3</v>
      </c>
      <c r="AY47" s="1005" t="s">
        <v>2</v>
      </c>
      <c r="AZ47" s="1006">
        <f>($E$48/100)*(SUM(AY$15*AY$15,AZ$15*AZ$15)/$C$14)</f>
        <v>3.6033914513066666E-2</v>
      </c>
      <c r="BA47" s="966">
        <f>(SUM(BB$15*BB$15,BC$15*BC$15)/POWER($C$14,2))*$C$48</f>
        <v>2.4903617587664407E-3</v>
      </c>
      <c r="BB47" s="1005" t="s">
        <v>2</v>
      </c>
      <c r="BC47" s="1006">
        <f>($E$48/100)*(SUM(BB$15*BB$15,BC$15*BC$15)/$C$14)</f>
        <v>3.6608317853866673E-2</v>
      </c>
      <c r="BD47" s="966">
        <f>(SUM(BE$15*BE$15,BF$15*BF$15)/POWER($C$14,2))*$C$48</f>
        <v>2.520567170902494E-3</v>
      </c>
      <c r="BE47" s="1005" t="s">
        <v>2</v>
      </c>
      <c r="BF47" s="1006">
        <f>($E$48/100)*(SUM(BE$15*BE$15,BF$15*BF$15)/$C$14)</f>
        <v>3.7052337412266663E-2</v>
      </c>
      <c r="BG47" s="966">
        <f>(SUM(BH$15*BH$15,BI$15*BI$15)/POWER($C$14,2))*$C$48</f>
        <v>2.7464615909297049E-3</v>
      </c>
      <c r="BH47" s="1005" t="s">
        <v>2</v>
      </c>
      <c r="BI47" s="1006">
        <f>($E$48/100)*(SUM(BH$15*BH$15,BI$15*BI$15)/$C$14)</f>
        <v>4.0372985386666664E-2</v>
      </c>
      <c r="BJ47" s="966">
        <f>(SUM(BK$15*BK$15,BL$15*BL$15)/POWER($C$14,2))*$C$48</f>
        <v>2.9634361750929704E-3</v>
      </c>
      <c r="BK47" s="1005" t="s">
        <v>2</v>
      </c>
      <c r="BL47" s="1006">
        <f>($E$48/100)*(SUM(BK$15*BK$15,BL$15*BL$15)/$C$14)</f>
        <v>4.3562511773866656E-2</v>
      </c>
      <c r="BM47" s="966">
        <f>(SUM(BN$15*BN$15,BO$15*BO$15)/POWER($C$14,2))*$C$48</f>
        <v>2.7588079505124715E-3</v>
      </c>
      <c r="BN47" s="1005" t="s">
        <v>2</v>
      </c>
      <c r="BO47" s="1006">
        <f>($E$48/100)*(SUM(BN$15*BN$15,BO$15*BO$15)/$C$14)</f>
        <v>4.0554476872533329E-2</v>
      </c>
      <c r="BP47" s="966">
        <f>(SUM(BQ$15*BQ$15,BR$15*BR$15)/POWER($C$14,2))*$C$48</f>
        <v>2.7999513614512467E-3</v>
      </c>
      <c r="BQ47" s="1005" t="s">
        <v>2</v>
      </c>
      <c r="BR47" s="1006">
        <f>($E$48/100)*(SUM(BQ$15*BQ$15,BR$15*BR$15)/$C$14)</f>
        <v>4.1159285013333324E-2</v>
      </c>
      <c r="BS47" s="966">
        <f>(SUM(BT$15*BT$15,BU$15*BU$15)/POWER($C$14,2))*$C$48</f>
        <v>2.7443713399002271E-3</v>
      </c>
      <c r="BT47" s="1005" t="s">
        <v>2</v>
      </c>
      <c r="BU47" s="1006">
        <f>($E$48/100)*(SUM(BT$15*BT$15,BU$15*BU$15)/$C$14)</f>
        <v>4.0342258696533337E-2</v>
      </c>
      <c r="BV47" s="966">
        <f>(SUM(BW$15*BW$15,BX$15*BX$15)/POWER($C$14,2))*$C$48</f>
        <v>2.5675147612879818E-3</v>
      </c>
      <c r="BW47" s="1005" t="s">
        <v>2</v>
      </c>
      <c r="BX47" s="1006">
        <f>($E$48/100)*(SUM(BW$15*BW$15,BX$15*BX$15)/$C$14)</f>
        <v>3.7742466990933331E-2</v>
      </c>
      <c r="BY47" s="966">
        <f>(SUM(BZ$15*BZ$15,CA$15*CA$15)/POWER($C$14,2))*$C$48</f>
        <v>2.1954515510566896E-3</v>
      </c>
      <c r="BZ47" s="1005" t="s">
        <v>2</v>
      </c>
      <c r="CA47" s="1006">
        <f>($E$48/100)*(SUM(BZ$15*BZ$15,CA$15*CA$15)/$C$14)</f>
        <v>3.2273137800533334E-2</v>
      </c>
      <c r="CB47" s="982"/>
    </row>
    <row r="48" spans="1:88" ht="15" customHeight="1" thickBot="1" x14ac:dyDescent="0.25">
      <c r="A48" s="781"/>
      <c r="B48" s="1011" t="s">
        <v>26</v>
      </c>
      <c r="C48" s="1012">
        <v>4.4999999999999998E-2</v>
      </c>
      <c r="D48" s="744" t="s">
        <v>27</v>
      </c>
      <c r="E48" s="2313">
        <v>10.5</v>
      </c>
      <c r="F48" s="2313"/>
      <c r="G48" s="1013"/>
      <c r="H48" s="1014"/>
      <c r="I48" s="1015"/>
      <c r="J48" s="1016"/>
      <c r="K48" s="1014"/>
      <c r="L48" s="1015"/>
      <c r="M48" s="1016"/>
      <c r="N48" s="1014"/>
      <c r="O48" s="1015"/>
      <c r="P48" s="1016"/>
      <c r="Q48" s="1014"/>
      <c r="R48" s="1015"/>
      <c r="S48" s="1016"/>
      <c r="T48" s="1014"/>
      <c r="U48" s="1015"/>
      <c r="V48" s="1016"/>
      <c r="W48" s="1014"/>
      <c r="X48" s="1015"/>
      <c r="Y48" s="1016"/>
      <c r="Z48" s="1014"/>
      <c r="AA48" s="1015"/>
      <c r="AB48" s="1016"/>
      <c r="AC48" s="1014"/>
      <c r="AD48" s="1015"/>
      <c r="AE48" s="1016"/>
      <c r="AF48" s="1014"/>
      <c r="AG48" s="1015"/>
      <c r="AH48" s="1016"/>
      <c r="AI48" s="1014"/>
      <c r="AJ48" s="1015"/>
      <c r="AK48" s="1016"/>
      <c r="AL48" s="1014"/>
      <c r="AM48" s="1015"/>
      <c r="AN48" s="1016"/>
      <c r="AO48" s="1014"/>
      <c r="AP48" s="1015"/>
      <c r="AQ48" s="1016"/>
      <c r="AR48" s="1014"/>
      <c r="AS48" s="1015"/>
      <c r="AT48" s="1016"/>
      <c r="AU48" s="1014"/>
      <c r="AV48" s="1015"/>
      <c r="AW48" s="1016"/>
      <c r="AX48" s="1014"/>
      <c r="AY48" s="1015"/>
      <c r="AZ48" s="1016"/>
      <c r="BA48" s="1014"/>
      <c r="BB48" s="1015"/>
      <c r="BC48" s="1016"/>
      <c r="BD48" s="1014"/>
      <c r="BE48" s="1015"/>
      <c r="BF48" s="1016"/>
      <c r="BG48" s="1014"/>
      <c r="BH48" s="1015"/>
      <c r="BI48" s="1016"/>
      <c r="BJ48" s="1014"/>
      <c r="BK48" s="1015"/>
      <c r="BL48" s="1016"/>
      <c r="BM48" s="1014"/>
      <c r="BN48" s="1015"/>
      <c r="BO48" s="1016"/>
      <c r="BP48" s="1014"/>
      <c r="BQ48" s="1015"/>
      <c r="BR48" s="1016"/>
      <c r="BS48" s="1014"/>
      <c r="BT48" s="1015"/>
      <c r="BU48" s="1016"/>
      <c r="BV48" s="1014"/>
      <c r="BW48" s="1015"/>
      <c r="BX48" s="1016"/>
      <c r="BY48" s="1014"/>
      <c r="BZ48" s="1015"/>
      <c r="CA48" s="1016"/>
      <c r="CB48" s="982"/>
      <c r="CC48" s="570"/>
    </row>
    <row r="49" spans="1:81" ht="13.5" thickBot="1" x14ac:dyDescent="0.25">
      <c r="A49" s="780"/>
      <c r="B49" s="2333" t="s">
        <v>29</v>
      </c>
      <c r="C49" s="2334"/>
      <c r="D49" s="2334"/>
      <c r="E49" s="2334"/>
      <c r="F49" s="2334"/>
      <c r="G49" s="2335"/>
      <c r="H49" s="891">
        <f>SUM(I15,$H$46,H47)</f>
        <v>1.3822851332832653</v>
      </c>
      <c r="I49" s="1009" t="s">
        <v>2</v>
      </c>
      <c r="J49" s="893">
        <f>SUM(J15,$J$46,J47)</f>
        <v>0.393967259264</v>
      </c>
      <c r="K49" s="891">
        <f>SUM(L15,$H$46,K47)</f>
        <v>1.2868873423566076</v>
      </c>
      <c r="L49" s="1009" t="s">
        <v>2</v>
      </c>
      <c r="M49" s="893">
        <f>SUM(M15,$J$46,M47)</f>
        <v>0.37732853264213329</v>
      </c>
      <c r="N49" s="891">
        <f>SUM(O15,$H$46,N47)</f>
        <v>1.3149108585035465</v>
      </c>
      <c r="O49" s="1009" t="s">
        <v>2</v>
      </c>
      <c r="P49" s="893">
        <f>SUM(P15,$J$46,P47)</f>
        <v>0.38711102000213332</v>
      </c>
      <c r="Q49" s="891">
        <f>SUM(R15,$H$46,Q47)</f>
        <v>1.2592074678392744</v>
      </c>
      <c r="R49" s="1009" t="s">
        <v>2</v>
      </c>
      <c r="S49" s="893">
        <f>SUM(S15,$J$46,S47)</f>
        <v>0.37477837723733332</v>
      </c>
      <c r="T49" s="891">
        <f>SUM(U15,$H$46,T47)</f>
        <v>1.2932747166246896</v>
      </c>
      <c r="U49" s="1009" t="s">
        <v>2</v>
      </c>
      <c r="V49" s="893">
        <f>SUM(V15,$J$46,V47)</f>
        <v>0.37895733438293333</v>
      </c>
      <c r="W49" s="891">
        <f>SUM(X15,$H$46,W47)</f>
        <v>1.306910660766186</v>
      </c>
      <c r="X49" s="1009" t="s">
        <v>2</v>
      </c>
      <c r="Y49" s="893">
        <f>SUM(Y15,$J$46,Y47)</f>
        <v>0.37388571326293341</v>
      </c>
      <c r="Z49" s="891">
        <f>SUM(AA15,$H$46,Z47)</f>
        <v>1.4116622670085803</v>
      </c>
      <c r="AA49" s="1009" t="s">
        <v>2</v>
      </c>
      <c r="AB49" s="893">
        <f>SUM(AB15,$J$46,AB47)</f>
        <v>0.3793999250261334</v>
      </c>
      <c r="AC49" s="891">
        <f>SUM(AD15,$H$46,AC47)</f>
        <v>1.5396212510978322</v>
      </c>
      <c r="AD49" s="1009" t="s">
        <v>2</v>
      </c>
      <c r="AE49" s="893">
        <f>SUM(AE15,$J$46,AE47)</f>
        <v>0.3853137911381333</v>
      </c>
      <c r="AF49" s="891">
        <f>SUM(AG15,$H$46,AF47)</f>
        <v>1.5449266042311109</v>
      </c>
      <c r="AG49" s="1009" t="s">
        <v>2</v>
      </c>
      <c r="AH49" s="893">
        <f>SUM(AH15,$J$46,AH47)</f>
        <v>0.37169128219733333</v>
      </c>
      <c r="AI49" s="891">
        <f>SUM(AJ15,$H$46,AI47)</f>
        <v>1.5198844694790385</v>
      </c>
      <c r="AJ49" s="1009" t="s">
        <v>2</v>
      </c>
      <c r="AK49" s="893">
        <f>SUM(AK15,$J$46,AK47)</f>
        <v>0.37649990134186667</v>
      </c>
      <c r="AL49" s="891">
        <f>SUM(AM15,$H$46,AL47)</f>
        <v>1.4775031666796552</v>
      </c>
      <c r="AM49" s="1009" t="s">
        <v>2</v>
      </c>
      <c r="AN49" s="893">
        <f>SUM(AN15,$J$46,AN47)</f>
        <v>0.37603875019093336</v>
      </c>
      <c r="AO49" s="891">
        <f>SUM(AP15,$H$46,AO47)</f>
        <v>1.468918374983982</v>
      </c>
      <c r="AP49" s="1009" t="s">
        <v>2</v>
      </c>
      <c r="AQ49" s="893">
        <f>SUM(AQ15,$J$46,AQ47)</f>
        <v>0.38105031226453334</v>
      </c>
      <c r="AR49" s="891">
        <f>SUM(AS15,$H$46,AR47)</f>
        <v>1.4799162276629478</v>
      </c>
      <c r="AS49" s="1009" t="s">
        <v>2</v>
      </c>
      <c r="AT49" s="893">
        <f>SUM(AT15,$J$46,AT47)</f>
        <v>0.38386274664533337</v>
      </c>
      <c r="AU49" s="891">
        <f>SUM(AV15,$H$46,AU47)</f>
        <v>1.4437328681784309</v>
      </c>
      <c r="AV49" s="1009" t="s">
        <v>2</v>
      </c>
      <c r="AW49" s="893">
        <f>SUM(AW15,$J$46,AW47)</f>
        <v>0.38089216222293337</v>
      </c>
      <c r="AX49" s="891">
        <f>SUM(AY15,$H$46,AX47)</f>
        <v>1.4529612867015691</v>
      </c>
      <c r="AY49" s="1009" t="s">
        <v>2</v>
      </c>
      <c r="AZ49" s="893">
        <f>SUM(AZ15,$J$46,AZ47)</f>
        <v>0.37900591451306664</v>
      </c>
      <c r="BA49" s="891">
        <f>SUM(BB15,$H$46,BA47)</f>
        <v>1.4670643617587664</v>
      </c>
      <c r="BB49" s="1009" t="s">
        <v>2</v>
      </c>
      <c r="BC49" s="893">
        <f>SUM(BC15,$J$46,BC47)</f>
        <v>0.36873231785386673</v>
      </c>
      <c r="BD49" s="891">
        <f>SUM(BE15,$H$46,BD47)</f>
        <v>1.4773665671709024</v>
      </c>
      <c r="BE49" s="1009" t="s">
        <v>2</v>
      </c>
      <c r="BF49" s="893">
        <f>SUM(BF15,$J$46,BF47)</f>
        <v>0.36319233741226664</v>
      </c>
      <c r="BG49" s="891">
        <f>SUM(BH15,$H$46,BG47)</f>
        <v>1.5413204615909295</v>
      </c>
      <c r="BH49" s="1009" t="s">
        <v>2</v>
      </c>
      <c r="BI49" s="893">
        <f>SUM(BI15,$J$46,BI47)</f>
        <v>0.38136098538666663</v>
      </c>
      <c r="BJ49" s="891">
        <f>SUM(BK15,$H$46,BJ47)</f>
        <v>1.6025774361750929</v>
      </c>
      <c r="BK49" s="1009" t="s">
        <v>2</v>
      </c>
      <c r="BL49" s="893">
        <f>SUM(BL15,$J$46,BL47)</f>
        <v>0.38627851177386663</v>
      </c>
      <c r="BM49" s="891">
        <f>SUM(BN15,$H$46,BM47)</f>
        <v>1.5449328079505125</v>
      </c>
      <c r="BN49" s="1009" t="s">
        <v>2</v>
      </c>
      <c r="BO49" s="893">
        <f>SUM(BO15,$J$46,BO47)</f>
        <v>0.3813184768725334</v>
      </c>
      <c r="BP49" s="891">
        <f>SUM(BQ15,$H$46,BP47)</f>
        <v>1.5565419513614509</v>
      </c>
      <c r="BQ49" s="1009" t="s">
        <v>2</v>
      </c>
      <c r="BR49" s="893">
        <f>SUM(BR15,$J$46,BR47)</f>
        <v>0.38312328501333331</v>
      </c>
      <c r="BS49" s="891">
        <f>SUM(BT15,$H$46,BS47)</f>
        <v>1.5403903713399003</v>
      </c>
      <c r="BT49" s="1009" t="s">
        <v>2</v>
      </c>
      <c r="BU49" s="893">
        <f>SUM(BU15,$J$46,BU47)</f>
        <v>0.38302625869653334</v>
      </c>
      <c r="BV49" s="891">
        <f>SUM(BW15,$H$46,BV47)</f>
        <v>1.485941514761288</v>
      </c>
      <c r="BW49" s="1009" t="s">
        <v>2</v>
      </c>
      <c r="BX49" s="893">
        <f>SUM(BX15,$J$46,BX47)</f>
        <v>0.39196246699093329</v>
      </c>
      <c r="BY49" s="891">
        <f>SUM(BZ15,$H$46,BY47)</f>
        <v>1.3706414515510568</v>
      </c>
      <c r="BZ49" s="1009" t="s">
        <v>2</v>
      </c>
      <c r="CA49" s="893">
        <f>SUM(CA15,$J$46,CA47)</f>
        <v>0.38210913780053329</v>
      </c>
      <c r="CB49" s="982"/>
      <c r="CC49" s="570"/>
    </row>
    <row r="50" spans="1:81" x14ac:dyDescent="0.2">
      <c r="A50" s="787" t="s">
        <v>20</v>
      </c>
      <c r="B50" s="788"/>
      <c r="C50" s="789"/>
      <c r="D50" s="788"/>
      <c r="E50" s="538"/>
      <c r="F50" s="708"/>
      <c r="G50" s="779"/>
      <c r="H50" s="540"/>
      <c r="I50" s="1017"/>
      <c r="J50" s="1018"/>
      <c r="K50" s="540"/>
      <c r="L50" s="1017"/>
      <c r="M50" s="1018"/>
      <c r="N50" s="540"/>
      <c r="O50" s="1017"/>
      <c r="P50" s="1018"/>
      <c r="Q50" s="540"/>
      <c r="R50" s="1017"/>
      <c r="S50" s="1018"/>
      <c r="T50" s="540"/>
      <c r="U50" s="1017"/>
      <c r="V50" s="1018"/>
      <c r="W50" s="540"/>
      <c r="X50" s="1017"/>
      <c r="Y50" s="1018"/>
      <c r="Z50" s="540"/>
      <c r="AA50" s="1017"/>
      <c r="AB50" s="1018"/>
      <c r="AC50" s="540"/>
      <c r="AD50" s="1017"/>
      <c r="AE50" s="1018"/>
      <c r="AF50" s="540"/>
      <c r="AG50" s="1017"/>
      <c r="AH50" s="1018"/>
      <c r="AI50" s="540"/>
      <c r="AJ50" s="1017"/>
      <c r="AK50" s="1018"/>
      <c r="AL50" s="540"/>
      <c r="AM50" s="1017"/>
      <c r="AN50" s="1018"/>
      <c r="AO50" s="540"/>
      <c r="AP50" s="1017"/>
      <c r="AQ50" s="1018"/>
      <c r="AR50" s="540"/>
      <c r="AS50" s="1017"/>
      <c r="AT50" s="1018"/>
      <c r="AU50" s="540"/>
      <c r="AV50" s="1017"/>
      <c r="AW50" s="1018"/>
      <c r="AX50" s="540"/>
      <c r="AY50" s="1017"/>
      <c r="AZ50" s="1018"/>
      <c r="BA50" s="540"/>
      <c r="BB50" s="1017"/>
      <c r="BC50" s="1018"/>
      <c r="BD50" s="540"/>
      <c r="BE50" s="1017"/>
      <c r="BF50" s="1018"/>
      <c r="BG50" s="540"/>
      <c r="BH50" s="1017"/>
      <c r="BI50" s="1018"/>
      <c r="BJ50" s="540"/>
      <c r="BK50" s="1017"/>
      <c r="BL50" s="1018"/>
      <c r="BM50" s="540"/>
      <c r="BN50" s="1017"/>
      <c r="BO50" s="1018"/>
      <c r="BP50" s="540"/>
      <c r="BQ50" s="1017"/>
      <c r="BR50" s="1018"/>
      <c r="BS50" s="540"/>
      <c r="BT50" s="1017"/>
      <c r="BU50" s="1018"/>
      <c r="BV50" s="540"/>
      <c r="BW50" s="1017"/>
      <c r="BX50" s="1018"/>
      <c r="BY50" s="540"/>
      <c r="BZ50" s="1017"/>
      <c r="CA50" s="1018"/>
      <c r="CB50" s="982"/>
    </row>
    <row r="51" spans="1:81" ht="13.5" thickBot="1" x14ac:dyDescent="0.25">
      <c r="A51" s="791" t="s">
        <v>21</v>
      </c>
      <c r="B51" s="792"/>
      <c r="C51" s="793"/>
      <c r="D51" s="792"/>
      <c r="E51" s="546"/>
      <c r="F51" s="792" t="s">
        <v>25</v>
      </c>
      <c r="G51" s="549"/>
      <c r="H51" s="907">
        <f>SUM(H45,H49)</f>
        <v>1.9186673911765624</v>
      </c>
      <c r="I51" s="1019" t="s">
        <v>2</v>
      </c>
      <c r="J51" s="909">
        <f>SUM(J45,J49)</f>
        <v>0.60075705029546667</v>
      </c>
      <c r="K51" s="907">
        <f>SUM(K45,K49)</f>
        <v>1.8019722094441359</v>
      </c>
      <c r="L51" s="1019" t="s">
        <v>2</v>
      </c>
      <c r="M51" s="909">
        <f>SUM(M45,M49)</f>
        <v>0.58221707882879992</v>
      </c>
      <c r="N51" s="907">
        <f>SUM(N45,N49)</f>
        <v>1.8300271516280455</v>
      </c>
      <c r="O51" s="1019" t="s">
        <v>2</v>
      </c>
      <c r="P51" s="909">
        <f>SUM(P45,P49)</f>
        <v>0.59019912893226667</v>
      </c>
      <c r="Q51" s="907">
        <f>SUM(Q45,Q49)</f>
        <v>1.762438942628644</v>
      </c>
      <c r="R51" s="1019" t="s">
        <v>2</v>
      </c>
      <c r="S51" s="909">
        <f>SUM(S45,S49)</f>
        <v>0.57947805664106666</v>
      </c>
      <c r="T51" s="907">
        <f>SUM(T45,T49)</f>
        <v>1.797257834816218</v>
      </c>
      <c r="U51" s="1019" t="s">
        <v>2</v>
      </c>
      <c r="V51" s="909">
        <f>SUM(V45,V49)</f>
        <v>0.58011577179840002</v>
      </c>
      <c r="W51" s="907">
        <f>SUM(W45,W49)</f>
        <v>1.8387905656654513</v>
      </c>
      <c r="X51" s="1019" t="s">
        <v>2</v>
      </c>
      <c r="Y51" s="909">
        <f>SUM(Y45,Y49)</f>
        <v>0.57763011528213337</v>
      </c>
      <c r="Z51" s="907">
        <f>SUM(Z45,Z49)</f>
        <v>1.987658912340172</v>
      </c>
      <c r="AA51" s="1019" t="s">
        <v>2</v>
      </c>
      <c r="AB51" s="909">
        <f>SUM(AB45,AB49)</f>
        <v>0.57919161140053343</v>
      </c>
      <c r="AC51" s="907">
        <f>SUM(AC45,AC49)</f>
        <v>2.1912151686073469</v>
      </c>
      <c r="AD51" s="1019" t="s">
        <v>2</v>
      </c>
      <c r="AE51" s="909">
        <f>SUM(AE45,AE49)</f>
        <v>0.58028217852800001</v>
      </c>
      <c r="AF51" s="907">
        <f>SUM(AF45,AF49)</f>
        <v>2.2564131863301951</v>
      </c>
      <c r="AG51" s="1019" t="s">
        <v>2</v>
      </c>
      <c r="AH51" s="909">
        <f>SUM(AH45,AH49)</f>
        <v>0.57322183905386659</v>
      </c>
      <c r="AI51" s="907">
        <f>SUM(AI45,AI49)</f>
        <v>2.278873074103728</v>
      </c>
      <c r="AJ51" s="1019" t="s">
        <v>2</v>
      </c>
      <c r="AK51" s="909">
        <f>SUM(AK45,AK49)</f>
        <v>0.57945738932480007</v>
      </c>
      <c r="AL51" s="907">
        <f>SUM(AL45,AL49)</f>
        <v>2.2514715542820136</v>
      </c>
      <c r="AM51" s="1019" t="s">
        <v>2</v>
      </c>
      <c r="AN51" s="909">
        <f>SUM(AN45,AN49)</f>
        <v>0.5858526479456001</v>
      </c>
      <c r="AO51" s="907">
        <f>SUM(AO45,AO49)</f>
        <v>2.2420141747731157</v>
      </c>
      <c r="AP51" s="1019" t="s">
        <v>2</v>
      </c>
      <c r="AQ51" s="909">
        <f>SUM(AQ45,AQ49)</f>
        <v>0.5935275691648001</v>
      </c>
      <c r="AR51" s="907">
        <f>SUM(AR45,AR49)</f>
        <v>2.2430417804905214</v>
      </c>
      <c r="AS51" s="1019" t="s">
        <v>2</v>
      </c>
      <c r="AT51" s="909">
        <f>SUM(AT45,AT49)</f>
        <v>0.59271977321066671</v>
      </c>
      <c r="AU51" s="907">
        <f>SUM(AU45,AU49)</f>
        <v>2.2061122757033651</v>
      </c>
      <c r="AV51" s="1019" t="s">
        <v>2</v>
      </c>
      <c r="AW51" s="909">
        <f>SUM(AW45,AW49)</f>
        <v>0.58711765283946671</v>
      </c>
      <c r="AX51" s="907">
        <f>SUM(AX45,AX49)</f>
        <v>2.2086969781127981</v>
      </c>
      <c r="AY51" s="1019" t="s">
        <v>2</v>
      </c>
      <c r="AZ51" s="909">
        <f>SUM(AZ45,AZ49)</f>
        <v>0.58367517825813331</v>
      </c>
      <c r="BA51" s="907">
        <f>SUM(BA45,BA49)</f>
        <v>2.2212445130684082</v>
      </c>
      <c r="BB51" s="1019" t="s">
        <v>2</v>
      </c>
      <c r="BC51" s="909">
        <f>SUM(BC45,BC49)</f>
        <v>0.57054154210560004</v>
      </c>
      <c r="BD51" s="907">
        <f>SUM(BD45,BD49)</f>
        <v>2.23827034752878</v>
      </c>
      <c r="BE51" s="1019" t="s">
        <v>2</v>
      </c>
      <c r="BF51" s="909">
        <f>SUM(BF45,BF49)</f>
        <v>0.5659725086730667</v>
      </c>
      <c r="BG51" s="907">
        <f>SUM(BG45,BG49)</f>
        <v>2.2568045869090971</v>
      </c>
      <c r="BH51" s="1019" t="s">
        <v>2</v>
      </c>
      <c r="BI51" s="909">
        <f>SUM(BI45,BI49)</f>
        <v>0.58043702756373328</v>
      </c>
      <c r="BJ51" s="907">
        <f>SUM(BJ45,BJ49)</f>
        <v>2.2942332285156279</v>
      </c>
      <c r="BK51" s="1019" t="s">
        <v>2</v>
      </c>
      <c r="BL51" s="909">
        <f>SUM(BL45,BL49)</f>
        <v>0.58808445917973329</v>
      </c>
      <c r="BM51" s="907">
        <f>SUM(BM45,BM49)</f>
        <v>2.2070691483862497</v>
      </c>
      <c r="BN51" s="1019" t="s">
        <v>2</v>
      </c>
      <c r="BO51" s="909">
        <f>SUM(BO45,BO49)</f>
        <v>0.57325088127786672</v>
      </c>
      <c r="BP51" s="907">
        <f>SUM(BP45,BP49)</f>
        <v>2.1900292390799092</v>
      </c>
      <c r="BQ51" s="1019" t="s">
        <v>2</v>
      </c>
      <c r="BR51" s="909">
        <f>SUM(BR45,BR49)</f>
        <v>0.57541221447466662</v>
      </c>
      <c r="BS51" s="907">
        <f>SUM(BS45,BS49)</f>
        <v>2.1503178933206351</v>
      </c>
      <c r="BT51" s="1019" t="s">
        <v>2</v>
      </c>
      <c r="BU51" s="909">
        <f>SUM(BU45,BU49)</f>
        <v>0.57756823181333328</v>
      </c>
      <c r="BV51" s="907">
        <f>SUM(BV45,BV49)</f>
        <v>2.0686720827522902</v>
      </c>
      <c r="BW51" s="1019" t="s">
        <v>2</v>
      </c>
      <c r="BX51" s="909">
        <f>SUM(BX45,BX49)</f>
        <v>0.58319321645866662</v>
      </c>
      <c r="BY51" s="907">
        <f>SUM(BY45,BY49)</f>
        <v>1.91945224920127</v>
      </c>
      <c r="BZ51" s="1019" t="s">
        <v>2</v>
      </c>
      <c r="CA51" s="909">
        <f>SUM(CA45,CA49)</f>
        <v>0.58184326325866664</v>
      </c>
    </row>
    <row r="52" spans="1:81" s="708" customFormat="1" x14ac:dyDescent="0.2">
      <c r="B52" s="538"/>
      <c r="C52" s="538"/>
      <c r="D52" s="538"/>
      <c r="E52" s="538"/>
      <c r="F52" s="538"/>
      <c r="G52" s="538"/>
      <c r="H52" s="538"/>
      <c r="I52" s="538"/>
      <c r="J52" s="538"/>
      <c r="K52" s="538"/>
      <c r="L52" s="538"/>
      <c r="M52" s="538"/>
      <c r="N52" s="538"/>
      <c r="O52" s="538"/>
      <c r="P52" s="538"/>
      <c r="Q52" s="538"/>
      <c r="R52" s="538"/>
      <c r="S52" s="538"/>
      <c r="T52" s="538"/>
      <c r="U52" s="538"/>
      <c r="V52" s="538"/>
      <c r="W52" s="538"/>
      <c r="X52" s="538"/>
      <c r="Y52" s="538"/>
      <c r="Z52" s="538"/>
      <c r="AA52" s="538"/>
      <c r="AB52" s="538"/>
      <c r="AC52" s="538"/>
      <c r="AD52" s="538"/>
      <c r="AE52" s="538"/>
      <c r="AF52" s="538"/>
      <c r="AG52" s="538"/>
      <c r="AH52" s="538"/>
      <c r="AI52" s="538"/>
      <c r="AJ52" s="538"/>
      <c r="AK52" s="538"/>
      <c r="AL52" s="538"/>
      <c r="AM52" s="538"/>
      <c r="AN52" s="538"/>
      <c r="AO52" s="538"/>
      <c r="AP52" s="538"/>
      <c r="AQ52" s="538"/>
      <c r="AR52" s="538"/>
      <c r="AS52" s="538"/>
      <c r="AT52" s="538"/>
      <c r="AU52" s="538"/>
      <c r="AV52" s="538"/>
      <c r="AW52" s="538"/>
      <c r="AX52" s="538"/>
      <c r="AY52" s="538"/>
      <c r="AZ52" s="538"/>
      <c r="BA52" s="538"/>
      <c r="BB52" s="538"/>
      <c r="BC52" s="538"/>
      <c r="BD52" s="538"/>
      <c r="BE52" s="538"/>
      <c r="BF52" s="538"/>
      <c r="BG52" s="538"/>
      <c r="BH52" s="538"/>
      <c r="BI52" s="538"/>
      <c r="BJ52" s="538"/>
      <c r="BK52" s="538"/>
      <c r="BL52" s="538"/>
      <c r="BM52" s="538"/>
      <c r="BN52" s="538"/>
      <c r="BO52" s="538"/>
      <c r="BP52" s="538"/>
      <c r="BQ52" s="538"/>
      <c r="BR52" s="538"/>
      <c r="BS52" s="538"/>
      <c r="BT52" s="538"/>
      <c r="BU52" s="538"/>
      <c r="BV52" s="538"/>
      <c r="BW52" s="538"/>
      <c r="BX52" s="538"/>
      <c r="BY52" s="538"/>
      <c r="BZ52" s="538"/>
      <c r="CA52" s="538"/>
      <c r="CB52" s="1020"/>
    </row>
    <row r="53" spans="1:81" x14ac:dyDescent="0.2">
      <c r="I53" s="1021"/>
      <c r="L53" s="1021"/>
      <c r="O53" s="1021"/>
      <c r="R53" s="1021"/>
      <c r="U53" s="1021"/>
      <c r="X53" s="1021"/>
      <c r="AA53" s="1021"/>
      <c r="AD53" s="1021"/>
      <c r="AG53" s="1021"/>
      <c r="AJ53" s="1021"/>
      <c r="AM53" s="1021"/>
      <c r="AP53" s="1021"/>
      <c r="AS53" s="1021"/>
      <c r="AV53" s="1021"/>
      <c r="AY53" s="1021"/>
      <c r="BB53" s="1021"/>
      <c r="BE53" s="1021"/>
      <c r="BH53" s="1021"/>
      <c r="BK53" s="1021"/>
      <c r="BN53" s="1021"/>
      <c r="BQ53" s="1021"/>
      <c r="BT53" s="1021"/>
      <c r="BW53" s="1021"/>
      <c r="BZ53" s="1021"/>
    </row>
    <row r="54" spans="1:81" x14ac:dyDescent="0.2">
      <c r="I54" s="1022"/>
      <c r="L54" s="1022"/>
      <c r="O54" s="1022"/>
      <c r="R54" s="1022"/>
      <c r="U54" s="1022"/>
      <c r="X54" s="1022"/>
      <c r="AA54" s="1022"/>
      <c r="AD54" s="1022"/>
      <c r="AG54" s="1022"/>
      <c r="AJ54" s="1022"/>
      <c r="AM54" s="1022"/>
      <c r="AP54" s="1022"/>
      <c r="AS54" s="1022"/>
      <c r="AV54" s="1022"/>
      <c r="AY54" s="1022"/>
      <c r="BB54" s="1022"/>
      <c r="BE54" s="1022"/>
      <c r="BH54" s="1022"/>
      <c r="BK54" s="1022"/>
      <c r="BN54" s="1022"/>
      <c r="BQ54" s="1022"/>
      <c r="BT54" s="1022"/>
      <c r="BW54" s="1022"/>
      <c r="BZ54" s="1022"/>
    </row>
    <row r="55" spans="1:81" x14ac:dyDescent="0.2">
      <c r="D55" s="589"/>
      <c r="I55" s="1022"/>
      <c r="L55" s="1022"/>
      <c r="O55" s="1022"/>
      <c r="R55" s="1022"/>
      <c r="U55" s="1022"/>
      <c r="X55" s="1022"/>
      <c r="AA55" s="1022"/>
      <c r="AD55" s="1022"/>
      <c r="AG55" s="1022"/>
      <c r="AJ55" s="1022"/>
      <c r="AM55" s="1022"/>
      <c r="AP55" s="1022"/>
      <c r="AS55" s="1022"/>
      <c r="AV55" s="1022"/>
      <c r="AY55" s="1022"/>
      <c r="BB55" s="1022"/>
      <c r="BE55" s="1022"/>
      <c r="BH55" s="1022"/>
      <c r="BK55" s="1022"/>
      <c r="BN55" s="1022"/>
      <c r="BQ55" s="1022"/>
      <c r="BT55" s="1022"/>
      <c r="BW55" s="1022"/>
      <c r="BZ55" s="1022"/>
    </row>
    <row r="56" spans="1:81" x14ac:dyDescent="0.2">
      <c r="I56" s="1022"/>
      <c r="L56" s="1022"/>
      <c r="O56" s="1022"/>
      <c r="R56" s="1022"/>
      <c r="U56" s="1022"/>
      <c r="X56" s="1022"/>
      <c r="AA56" s="1022"/>
      <c r="AD56" s="1022"/>
      <c r="AG56" s="1022"/>
      <c r="AJ56" s="1022"/>
      <c r="AM56" s="1022"/>
      <c r="AP56" s="1022"/>
      <c r="AS56" s="1022"/>
      <c r="AV56" s="1022"/>
      <c r="AY56" s="1022"/>
      <c r="BB56" s="1022"/>
      <c r="BE56" s="1022"/>
      <c r="BH56" s="1022"/>
      <c r="BK56" s="1022"/>
      <c r="BN56" s="1022"/>
      <c r="BQ56" s="1022"/>
      <c r="BT56" s="1022"/>
      <c r="BW56" s="1022"/>
      <c r="BZ56" s="1022"/>
    </row>
    <row r="58" spans="1:81" x14ac:dyDescent="0.2">
      <c r="I58" s="1022"/>
      <c r="L58" s="1022"/>
      <c r="O58" s="1022"/>
      <c r="R58" s="1022"/>
      <c r="U58" s="1022"/>
      <c r="X58" s="1022"/>
      <c r="AA58" s="1022"/>
      <c r="AD58" s="1022"/>
      <c r="AG58" s="1022"/>
      <c r="AJ58" s="1022"/>
      <c r="AM58" s="1022"/>
      <c r="AP58" s="1022"/>
      <c r="AS58" s="1022"/>
      <c r="AV58" s="1022"/>
      <c r="AY58" s="1022"/>
      <c r="BB58" s="1022"/>
      <c r="BE58" s="1022"/>
      <c r="BH58" s="1022"/>
      <c r="BK58" s="1022"/>
      <c r="BN58" s="1022"/>
      <c r="BQ58" s="1022"/>
      <c r="BT58" s="1022"/>
      <c r="BW58" s="1022"/>
      <c r="BZ58" s="1022"/>
    </row>
    <row r="59" spans="1:81" x14ac:dyDescent="0.2">
      <c r="D59" s="589"/>
      <c r="I59" s="1022"/>
      <c r="L59" s="1022"/>
      <c r="O59" s="1022"/>
      <c r="R59" s="1022"/>
      <c r="U59" s="1022"/>
      <c r="X59" s="1022"/>
      <c r="AA59" s="1022"/>
      <c r="AD59" s="1022"/>
      <c r="AG59" s="1022"/>
      <c r="AJ59" s="1022"/>
      <c r="AM59" s="1022"/>
      <c r="AP59" s="1022"/>
      <c r="AS59" s="1022"/>
      <c r="AV59" s="1022"/>
      <c r="AY59" s="1022"/>
      <c r="BB59" s="1022"/>
      <c r="BE59" s="1022"/>
      <c r="BH59" s="1022"/>
      <c r="BK59" s="1022"/>
      <c r="BN59" s="1022"/>
      <c r="BQ59" s="1022"/>
      <c r="BT59" s="1022"/>
      <c r="BW59" s="1022"/>
      <c r="BZ59" s="1022"/>
    </row>
    <row r="60" spans="1:81" x14ac:dyDescent="0.2">
      <c r="I60" s="1022"/>
      <c r="L60" s="1022"/>
      <c r="O60" s="1022"/>
      <c r="R60" s="1022"/>
      <c r="U60" s="1022"/>
      <c r="X60" s="1022"/>
      <c r="AA60" s="1022"/>
      <c r="AD60" s="1022"/>
      <c r="AG60" s="1022"/>
      <c r="AJ60" s="1022"/>
      <c r="AM60" s="1022"/>
      <c r="AP60" s="1022"/>
      <c r="AS60" s="1022"/>
      <c r="AV60" s="1022"/>
      <c r="AY60" s="1022"/>
      <c r="BB60" s="1022"/>
      <c r="BE60" s="1022"/>
      <c r="BH60" s="1022"/>
      <c r="BK60" s="1022"/>
      <c r="BN60" s="1022"/>
      <c r="BQ60" s="1022"/>
      <c r="BT60" s="1022"/>
      <c r="BW60" s="1022"/>
      <c r="BZ60" s="1022"/>
    </row>
    <row r="61" spans="1:81" x14ac:dyDescent="0.2">
      <c r="I61" s="1022"/>
      <c r="L61" s="1022"/>
      <c r="O61" s="1022"/>
      <c r="R61" s="1022"/>
      <c r="U61" s="1022"/>
      <c r="X61" s="1022"/>
      <c r="AA61" s="1022"/>
      <c r="AD61" s="1022"/>
      <c r="AG61" s="1022"/>
      <c r="AJ61" s="1022"/>
      <c r="AM61" s="1022"/>
      <c r="AP61" s="1022"/>
      <c r="AS61" s="1022"/>
      <c r="AV61" s="1022"/>
      <c r="AY61" s="1022"/>
      <c r="BB61" s="1022"/>
      <c r="BE61" s="1022"/>
      <c r="BH61" s="1022"/>
      <c r="BK61" s="1022"/>
      <c r="BN61" s="1022"/>
      <c r="BQ61" s="1022"/>
      <c r="BT61" s="1022"/>
      <c r="BW61" s="1022"/>
      <c r="BZ61" s="1022"/>
    </row>
    <row r="62" spans="1:81" x14ac:dyDescent="0.2">
      <c r="I62" s="1022"/>
      <c r="L62" s="1022"/>
      <c r="O62" s="1022"/>
      <c r="R62" s="1022"/>
      <c r="U62" s="1022"/>
      <c r="X62" s="1022"/>
      <c r="AA62" s="1022"/>
      <c r="AD62" s="1022"/>
      <c r="AG62" s="1022"/>
      <c r="AJ62" s="1022"/>
      <c r="AM62" s="1022"/>
      <c r="AP62" s="1022"/>
      <c r="AS62" s="1022"/>
      <c r="AV62" s="1022"/>
      <c r="AY62" s="1022"/>
      <c r="BB62" s="1022"/>
      <c r="BE62" s="1022"/>
      <c r="BH62" s="1022"/>
      <c r="BK62" s="1022"/>
      <c r="BN62" s="1022"/>
      <c r="BQ62" s="1022"/>
      <c r="BT62" s="1022"/>
      <c r="BW62" s="1022"/>
      <c r="BZ62" s="1022"/>
    </row>
    <row r="63" spans="1:81" x14ac:dyDescent="0.2">
      <c r="I63" s="1022"/>
      <c r="L63" s="1022"/>
      <c r="O63" s="1022"/>
      <c r="R63" s="1022"/>
      <c r="U63" s="1022"/>
      <c r="X63" s="1022"/>
      <c r="AA63" s="1022"/>
      <c r="AD63" s="1022"/>
      <c r="AG63" s="1022"/>
      <c r="AJ63" s="1022"/>
      <c r="AM63" s="1022"/>
      <c r="AP63" s="1022"/>
      <c r="AS63" s="1022"/>
      <c r="AV63" s="1022"/>
      <c r="AY63" s="1022"/>
      <c r="BB63" s="1022"/>
      <c r="BE63" s="1022"/>
      <c r="BH63" s="1022"/>
      <c r="BK63" s="1022"/>
      <c r="BN63" s="1022"/>
      <c r="BQ63" s="1022"/>
      <c r="BT63" s="1022"/>
      <c r="BW63" s="1022"/>
      <c r="BZ63" s="1022"/>
    </row>
    <row r="67" spans="4:78" x14ac:dyDescent="0.2">
      <c r="I67" s="1021"/>
      <c r="L67" s="1021"/>
      <c r="O67" s="1021"/>
      <c r="R67" s="1021"/>
      <c r="U67" s="1021"/>
      <c r="X67" s="1021"/>
      <c r="AA67" s="1021"/>
      <c r="AD67" s="1021"/>
      <c r="AG67" s="1021"/>
      <c r="AJ67" s="1021"/>
      <c r="AM67" s="1021"/>
      <c r="AP67" s="1021"/>
      <c r="AS67" s="1021"/>
      <c r="AV67" s="1021"/>
      <c r="AY67" s="1021"/>
      <c r="BB67" s="1021"/>
      <c r="BE67" s="1021"/>
      <c r="BH67" s="1021"/>
      <c r="BK67" s="1021"/>
      <c r="BN67" s="1021"/>
      <c r="BQ67" s="1021"/>
      <c r="BT67" s="1021"/>
      <c r="BW67" s="1021"/>
      <c r="BZ67" s="1021"/>
    </row>
    <row r="68" spans="4:78" x14ac:dyDescent="0.2">
      <c r="D68" s="589"/>
      <c r="I68" s="1021"/>
      <c r="L68" s="1021"/>
      <c r="O68" s="1021"/>
      <c r="R68" s="1021"/>
      <c r="U68" s="1021"/>
      <c r="X68" s="1021"/>
      <c r="AA68" s="1021"/>
      <c r="AD68" s="1021"/>
      <c r="AG68" s="1021"/>
      <c r="AJ68" s="1021"/>
      <c r="AM68" s="1021"/>
      <c r="AP68" s="1021"/>
      <c r="AS68" s="1021"/>
      <c r="AV68" s="1021"/>
      <c r="AY68" s="1021"/>
      <c r="BB68" s="1021"/>
      <c r="BE68" s="1021"/>
      <c r="BH68" s="1021"/>
      <c r="BK68" s="1021"/>
      <c r="BN68" s="1021"/>
      <c r="BQ68" s="1021"/>
      <c r="BT68" s="1021"/>
      <c r="BW68" s="1021"/>
      <c r="BZ68" s="1021"/>
    </row>
    <row r="69" spans="4:78" x14ac:dyDescent="0.2">
      <c r="I69" s="1021"/>
      <c r="L69" s="1021"/>
      <c r="O69" s="1021"/>
      <c r="R69" s="1021"/>
      <c r="U69" s="1021"/>
      <c r="X69" s="1021"/>
      <c r="AA69" s="1021"/>
      <c r="AD69" s="1021"/>
      <c r="AG69" s="1021"/>
      <c r="AJ69" s="1021"/>
      <c r="AM69" s="1021"/>
      <c r="AP69" s="1021"/>
      <c r="AS69" s="1021"/>
      <c r="AV69" s="1021"/>
      <c r="AY69" s="1021"/>
      <c r="BB69" s="1021"/>
      <c r="BE69" s="1021"/>
      <c r="BH69" s="1021"/>
      <c r="BK69" s="1021"/>
      <c r="BN69" s="1021"/>
      <c r="BQ69" s="1021"/>
      <c r="BT69" s="1021"/>
      <c r="BW69" s="1021"/>
      <c r="BZ69" s="1021"/>
    </row>
    <row r="70" spans="4:78" x14ac:dyDescent="0.2">
      <c r="I70" s="1021"/>
      <c r="L70" s="1021"/>
      <c r="O70" s="1021"/>
      <c r="R70" s="1021"/>
      <c r="U70" s="1021"/>
      <c r="X70" s="1021"/>
      <c r="AA70" s="1021"/>
      <c r="AD70" s="1021"/>
      <c r="AG70" s="1021"/>
      <c r="AJ70" s="1021"/>
      <c r="AM70" s="1021"/>
      <c r="AP70" s="1021"/>
      <c r="AS70" s="1021"/>
      <c r="AV70" s="1021"/>
      <c r="AY70" s="1021"/>
      <c r="BB70" s="1021"/>
      <c r="BE70" s="1021"/>
      <c r="BH70" s="1021"/>
      <c r="BK70" s="1021"/>
      <c r="BN70" s="1021"/>
      <c r="BQ70" s="1021"/>
      <c r="BT70" s="1021"/>
      <c r="BW70" s="1021"/>
      <c r="BZ70" s="1021"/>
    </row>
    <row r="71" spans="4:78" x14ac:dyDescent="0.2">
      <c r="I71" s="1021"/>
      <c r="L71" s="1021"/>
      <c r="O71" s="1021"/>
      <c r="R71" s="1021"/>
      <c r="U71" s="1021"/>
      <c r="X71" s="1021"/>
      <c r="AA71" s="1021"/>
      <c r="AD71" s="1021"/>
      <c r="AG71" s="1021"/>
      <c r="AJ71" s="1021"/>
      <c r="AM71" s="1021"/>
      <c r="AP71" s="1021"/>
      <c r="AS71" s="1021"/>
      <c r="AV71" s="1021"/>
      <c r="AY71" s="1021"/>
      <c r="BB71" s="1021"/>
      <c r="BE71" s="1021"/>
      <c r="BH71" s="1021"/>
      <c r="BK71" s="1021"/>
      <c r="BN71" s="1021"/>
      <c r="BQ71" s="1021"/>
      <c r="BT71" s="1021"/>
      <c r="BW71" s="1021"/>
      <c r="BZ71" s="1021"/>
    </row>
    <row r="72" spans="4:78" x14ac:dyDescent="0.2">
      <c r="D72" s="589"/>
      <c r="I72" s="1021"/>
      <c r="L72" s="1021"/>
      <c r="O72" s="1021"/>
      <c r="R72" s="1021"/>
      <c r="U72" s="1021"/>
      <c r="X72" s="1021"/>
      <c r="AA72" s="1021"/>
      <c r="AD72" s="1021"/>
      <c r="AG72" s="1021"/>
      <c r="AJ72" s="1021"/>
      <c r="AM72" s="1021"/>
      <c r="AP72" s="1021"/>
      <c r="AS72" s="1021"/>
      <c r="AV72" s="1021"/>
      <c r="AY72" s="1021"/>
      <c r="BB72" s="1021"/>
      <c r="BE72" s="1021"/>
      <c r="BH72" s="1021"/>
      <c r="BK72" s="1021"/>
      <c r="BN72" s="1021"/>
      <c r="BQ72" s="1021"/>
      <c r="BT72" s="1021"/>
      <c r="BW72" s="1021"/>
      <c r="BZ72" s="1021"/>
    </row>
    <row r="73" spans="4:78" x14ac:dyDescent="0.2">
      <c r="I73" s="1021"/>
      <c r="L73" s="1021"/>
      <c r="O73" s="1021"/>
      <c r="R73" s="1021"/>
      <c r="U73" s="1021"/>
      <c r="X73" s="1021"/>
      <c r="AA73" s="1021"/>
      <c r="AD73" s="1021"/>
      <c r="AG73" s="1021"/>
      <c r="AJ73" s="1021"/>
      <c r="AM73" s="1021"/>
      <c r="AP73" s="1021"/>
      <c r="AS73" s="1021"/>
      <c r="AV73" s="1021"/>
      <c r="AY73" s="1021"/>
      <c r="BB73" s="1021"/>
      <c r="BE73" s="1021"/>
      <c r="BH73" s="1021"/>
      <c r="BK73" s="1021"/>
      <c r="BN73" s="1021"/>
      <c r="BQ73" s="1021"/>
      <c r="BT73" s="1021"/>
      <c r="BW73" s="1021"/>
      <c r="BZ73" s="1021"/>
    </row>
  </sheetData>
  <mergeCells count="83">
    <mergeCell ref="E48:F48"/>
    <mergeCell ref="B49:G49"/>
    <mergeCell ref="A36:C36"/>
    <mergeCell ref="A37:C37"/>
    <mergeCell ref="A38:C38"/>
    <mergeCell ref="A40:C40"/>
    <mergeCell ref="A41:G41"/>
    <mergeCell ref="E44:F44"/>
    <mergeCell ref="A32:C32"/>
    <mergeCell ref="A33:C33"/>
    <mergeCell ref="A34:C34"/>
    <mergeCell ref="A35:C35"/>
    <mergeCell ref="B45:G45"/>
    <mergeCell ref="A29:C29"/>
    <mergeCell ref="D29:E29"/>
    <mergeCell ref="F29:G29"/>
    <mergeCell ref="A30:C30"/>
    <mergeCell ref="A31:C31"/>
    <mergeCell ref="A25:C26"/>
    <mergeCell ref="D25:G25"/>
    <mergeCell ref="D26:G26"/>
    <mergeCell ref="E27:F27"/>
    <mergeCell ref="E28:F28"/>
    <mergeCell ref="A23:B24"/>
    <mergeCell ref="C23:C24"/>
    <mergeCell ref="D23:E23"/>
    <mergeCell ref="F23:G24"/>
    <mergeCell ref="D24:E24"/>
    <mergeCell ref="A21:B22"/>
    <mergeCell ref="C21:C22"/>
    <mergeCell ref="D21:E21"/>
    <mergeCell ref="F21:G22"/>
    <mergeCell ref="D22:E22"/>
    <mergeCell ref="A14:B20"/>
    <mergeCell ref="C14:C20"/>
    <mergeCell ref="D14:E16"/>
    <mergeCell ref="F14:G14"/>
    <mergeCell ref="F15:G15"/>
    <mergeCell ref="F16:G16"/>
    <mergeCell ref="D17:E19"/>
    <mergeCell ref="F17:G17"/>
    <mergeCell ref="F18:G18"/>
    <mergeCell ref="F19:G19"/>
    <mergeCell ref="D20:G20"/>
    <mergeCell ref="A5:B6"/>
    <mergeCell ref="C5:C6"/>
    <mergeCell ref="D5:G6"/>
    <mergeCell ref="A7:B13"/>
    <mergeCell ref="C7:C13"/>
    <mergeCell ref="D7:E9"/>
    <mergeCell ref="F7:G7"/>
    <mergeCell ref="F8:G8"/>
    <mergeCell ref="F9:G9"/>
    <mergeCell ref="D10:E12"/>
    <mergeCell ref="F10:G10"/>
    <mergeCell ref="F11:G11"/>
    <mergeCell ref="F12:G12"/>
    <mergeCell ref="D13:G13"/>
    <mergeCell ref="BM4:BO4"/>
    <mergeCell ref="BP4:BR4"/>
    <mergeCell ref="BS4:BU4"/>
    <mergeCell ref="BV4:BX4"/>
    <mergeCell ref="BY4:CA4"/>
    <mergeCell ref="AX4:AZ4"/>
    <mergeCell ref="BA4:BC4"/>
    <mergeCell ref="BD4:BF4"/>
    <mergeCell ref="BG4:BI4"/>
    <mergeCell ref="BJ4:BL4"/>
    <mergeCell ref="AI4:AK4"/>
    <mergeCell ref="AL4:AN4"/>
    <mergeCell ref="AO4:AQ4"/>
    <mergeCell ref="AR4:AT4"/>
    <mergeCell ref="AU4:AW4"/>
    <mergeCell ref="T4:V4"/>
    <mergeCell ref="W4:Y4"/>
    <mergeCell ref="Z4:AB4"/>
    <mergeCell ref="AC4:AE4"/>
    <mergeCell ref="AF4:AH4"/>
    <mergeCell ref="A4:G4"/>
    <mergeCell ref="H4:J4"/>
    <mergeCell ref="K4:M4"/>
    <mergeCell ref="N4:P4"/>
    <mergeCell ref="Q4:S4"/>
  </mergeCells>
  <conditionalFormatting sqref="I31:J33">
    <cfRule type="cellIs" dxfId="290" priority="96" stopIfTrue="1" operator="lessThan">
      <formula>0</formula>
    </cfRule>
  </conditionalFormatting>
  <conditionalFormatting sqref="I35:J39">
    <cfRule type="cellIs" dxfId="289" priority="95" stopIfTrue="1" operator="lessThan">
      <formula>0</formula>
    </cfRule>
  </conditionalFormatting>
  <conditionalFormatting sqref="L31:M33">
    <cfRule type="cellIs" dxfId="288" priority="94" stopIfTrue="1" operator="lessThan">
      <formula>0</formula>
    </cfRule>
  </conditionalFormatting>
  <conditionalFormatting sqref="O31:P33">
    <cfRule type="cellIs" dxfId="287" priority="93" stopIfTrue="1" operator="lessThan">
      <formula>0</formula>
    </cfRule>
  </conditionalFormatting>
  <conditionalFormatting sqref="R31:S33">
    <cfRule type="cellIs" dxfId="286" priority="92" stopIfTrue="1" operator="lessThan">
      <formula>0</formula>
    </cfRule>
  </conditionalFormatting>
  <conditionalFormatting sqref="U31:V33">
    <cfRule type="cellIs" dxfId="285" priority="91" stopIfTrue="1" operator="lessThan">
      <formula>0</formula>
    </cfRule>
  </conditionalFormatting>
  <conditionalFormatting sqref="X31:Y33">
    <cfRule type="cellIs" dxfId="284" priority="90" stopIfTrue="1" operator="lessThan">
      <formula>0</formula>
    </cfRule>
  </conditionalFormatting>
  <conditionalFormatting sqref="AA31:AB33">
    <cfRule type="cellIs" dxfId="283" priority="89" stopIfTrue="1" operator="lessThan">
      <formula>0</formula>
    </cfRule>
  </conditionalFormatting>
  <conditionalFormatting sqref="AD31:AE33">
    <cfRule type="cellIs" dxfId="282" priority="88" stopIfTrue="1" operator="lessThan">
      <formula>0</formula>
    </cfRule>
  </conditionalFormatting>
  <conditionalFormatting sqref="AG31:AH33">
    <cfRule type="cellIs" dxfId="281" priority="87" stopIfTrue="1" operator="lessThan">
      <formula>0</formula>
    </cfRule>
  </conditionalFormatting>
  <conditionalFormatting sqref="AJ31:AK33">
    <cfRule type="cellIs" dxfId="280" priority="86" stopIfTrue="1" operator="lessThan">
      <formula>0</formula>
    </cfRule>
  </conditionalFormatting>
  <conditionalFormatting sqref="AM31:AN33">
    <cfRule type="cellIs" dxfId="279" priority="85" stopIfTrue="1" operator="lessThan">
      <formula>0</formula>
    </cfRule>
  </conditionalFormatting>
  <conditionalFormatting sqref="AP31:AQ33">
    <cfRule type="cellIs" dxfId="278" priority="84" stopIfTrue="1" operator="lessThan">
      <formula>0</formula>
    </cfRule>
  </conditionalFormatting>
  <conditionalFormatting sqref="AS31:AT33">
    <cfRule type="cellIs" dxfId="277" priority="83" stopIfTrue="1" operator="lessThan">
      <formula>0</formula>
    </cfRule>
  </conditionalFormatting>
  <conditionalFormatting sqref="AV31:AW33">
    <cfRule type="cellIs" dxfId="276" priority="82" stopIfTrue="1" operator="lessThan">
      <formula>0</formula>
    </cfRule>
  </conditionalFormatting>
  <conditionalFormatting sqref="AY31:AZ33">
    <cfRule type="cellIs" dxfId="275" priority="81" stopIfTrue="1" operator="lessThan">
      <formula>0</formula>
    </cfRule>
  </conditionalFormatting>
  <conditionalFormatting sqref="BB31:BC33">
    <cfRule type="cellIs" dxfId="274" priority="80" stopIfTrue="1" operator="lessThan">
      <formula>0</formula>
    </cfRule>
  </conditionalFormatting>
  <conditionalFormatting sqref="BE31:BF33">
    <cfRule type="cellIs" dxfId="273" priority="79" stopIfTrue="1" operator="lessThan">
      <formula>0</formula>
    </cfRule>
  </conditionalFormatting>
  <conditionalFormatting sqref="BH31:BI33">
    <cfRule type="cellIs" dxfId="272" priority="78" stopIfTrue="1" operator="lessThan">
      <formula>0</formula>
    </cfRule>
  </conditionalFormatting>
  <conditionalFormatting sqref="BK31:BL33">
    <cfRule type="cellIs" dxfId="271" priority="77" stopIfTrue="1" operator="lessThan">
      <formula>0</formula>
    </cfRule>
  </conditionalFormatting>
  <conditionalFormatting sqref="BN31:BO33">
    <cfRule type="cellIs" dxfId="270" priority="76" stopIfTrue="1" operator="lessThan">
      <formula>0</formula>
    </cfRule>
  </conditionalFormatting>
  <conditionalFormatting sqref="BQ31:BR33">
    <cfRule type="cellIs" dxfId="269" priority="75" stopIfTrue="1" operator="lessThan">
      <formula>0</formula>
    </cfRule>
  </conditionalFormatting>
  <conditionalFormatting sqref="BT31:BU33">
    <cfRule type="cellIs" dxfId="268" priority="74" stopIfTrue="1" operator="lessThan">
      <formula>0</formula>
    </cfRule>
  </conditionalFormatting>
  <conditionalFormatting sqref="BW31:BX33">
    <cfRule type="cellIs" dxfId="267" priority="73" stopIfTrue="1" operator="lessThan">
      <formula>0</formula>
    </cfRule>
  </conditionalFormatting>
  <conditionalFormatting sqref="BZ31:CA33">
    <cfRule type="cellIs" dxfId="266" priority="72" stopIfTrue="1" operator="lessThan">
      <formula>0</formula>
    </cfRule>
  </conditionalFormatting>
  <conditionalFormatting sqref="L35:M39">
    <cfRule type="cellIs" dxfId="265" priority="71" stopIfTrue="1" operator="lessThan">
      <formula>0</formula>
    </cfRule>
  </conditionalFormatting>
  <conditionalFormatting sqref="O35:P39">
    <cfRule type="cellIs" dxfId="264" priority="70" stopIfTrue="1" operator="lessThan">
      <formula>0</formula>
    </cfRule>
  </conditionalFormatting>
  <conditionalFormatting sqref="R35:S39">
    <cfRule type="cellIs" dxfId="263" priority="69" stopIfTrue="1" operator="lessThan">
      <formula>0</formula>
    </cfRule>
  </conditionalFormatting>
  <conditionalFormatting sqref="U35:V39">
    <cfRule type="cellIs" dxfId="262" priority="68" stopIfTrue="1" operator="lessThan">
      <formula>0</formula>
    </cfRule>
  </conditionalFormatting>
  <conditionalFormatting sqref="X35:Y39">
    <cfRule type="cellIs" dxfId="261" priority="67" stopIfTrue="1" operator="lessThan">
      <formula>0</formula>
    </cfRule>
  </conditionalFormatting>
  <conditionalFormatting sqref="AA35:AB39">
    <cfRule type="cellIs" dxfId="260" priority="66" stopIfTrue="1" operator="lessThan">
      <formula>0</formula>
    </cfRule>
  </conditionalFormatting>
  <conditionalFormatting sqref="AD35:AE39">
    <cfRule type="cellIs" dxfId="259" priority="65" stopIfTrue="1" operator="lessThan">
      <formula>0</formula>
    </cfRule>
  </conditionalFormatting>
  <conditionalFormatting sqref="AG35:AH39">
    <cfRule type="cellIs" dxfId="258" priority="64" stopIfTrue="1" operator="lessThan">
      <formula>0</formula>
    </cfRule>
  </conditionalFormatting>
  <conditionalFormatting sqref="AJ35:AK39">
    <cfRule type="cellIs" dxfId="257" priority="63" stopIfTrue="1" operator="lessThan">
      <formula>0</formula>
    </cfRule>
  </conditionalFormatting>
  <conditionalFormatting sqref="AM35:AN39">
    <cfRule type="cellIs" dxfId="256" priority="62" stopIfTrue="1" operator="lessThan">
      <formula>0</formula>
    </cfRule>
  </conditionalFormatting>
  <conditionalFormatting sqref="AP35:AQ39">
    <cfRule type="cellIs" dxfId="255" priority="61" stopIfTrue="1" operator="lessThan">
      <formula>0</formula>
    </cfRule>
  </conditionalFormatting>
  <conditionalFormatting sqref="AS35:AT39">
    <cfRule type="cellIs" dxfId="254" priority="60" stopIfTrue="1" operator="lessThan">
      <formula>0</formula>
    </cfRule>
  </conditionalFormatting>
  <conditionalFormatting sqref="AV35:AW39">
    <cfRule type="cellIs" dxfId="253" priority="59" stopIfTrue="1" operator="lessThan">
      <formula>0</formula>
    </cfRule>
  </conditionalFormatting>
  <conditionalFormatting sqref="AY35:AZ39">
    <cfRule type="cellIs" dxfId="252" priority="58" stopIfTrue="1" operator="lessThan">
      <formula>0</formula>
    </cfRule>
  </conditionalFormatting>
  <conditionalFormatting sqref="BB35:BC39">
    <cfRule type="cellIs" dxfId="251" priority="57" stopIfTrue="1" operator="lessThan">
      <formula>0</formula>
    </cfRule>
  </conditionalFormatting>
  <conditionalFormatting sqref="BE35:BF39">
    <cfRule type="cellIs" dxfId="250" priority="56" stopIfTrue="1" operator="lessThan">
      <formula>0</formula>
    </cfRule>
  </conditionalFormatting>
  <conditionalFormatting sqref="BH35:BI39">
    <cfRule type="cellIs" dxfId="249" priority="55" stopIfTrue="1" operator="lessThan">
      <formula>0</formula>
    </cfRule>
  </conditionalFormatting>
  <conditionalFormatting sqref="BK35:BL39">
    <cfRule type="cellIs" dxfId="248" priority="54" stopIfTrue="1" operator="lessThan">
      <formula>0</formula>
    </cfRule>
  </conditionalFormatting>
  <conditionalFormatting sqref="BN35:BO39">
    <cfRule type="cellIs" dxfId="247" priority="53" stopIfTrue="1" operator="lessThan">
      <formula>0</formula>
    </cfRule>
  </conditionalFormatting>
  <conditionalFormatting sqref="BQ35:BR39">
    <cfRule type="cellIs" dxfId="246" priority="52" stopIfTrue="1" operator="lessThan">
      <formula>0</formula>
    </cfRule>
  </conditionalFormatting>
  <conditionalFormatting sqref="BT35:BU39">
    <cfRule type="cellIs" dxfId="245" priority="51" stopIfTrue="1" operator="lessThan">
      <formula>0</formula>
    </cfRule>
  </conditionalFormatting>
  <conditionalFormatting sqref="BW35:BX39">
    <cfRule type="cellIs" dxfId="244" priority="50" stopIfTrue="1" operator="lessThan">
      <formula>0</formula>
    </cfRule>
  </conditionalFormatting>
  <conditionalFormatting sqref="BZ35:CA39">
    <cfRule type="cellIs" dxfId="243" priority="49" stopIfTrue="1" operator="lessThan">
      <formula>0</formula>
    </cfRule>
  </conditionalFormatting>
  <conditionalFormatting sqref="AV21:AW21">
    <cfRule type="cellIs" dxfId="242" priority="48" stopIfTrue="1" operator="lessThan">
      <formula>0</formula>
    </cfRule>
  </conditionalFormatting>
  <conditionalFormatting sqref="AY21:AZ21">
    <cfRule type="cellIs" dxfId="241" priority="47" stopIfTrue="1" operator="lessThan">
      <formula>0</formula>
    </cfRule>
  </conditionalFormatting>
  <conditionalFormatting sqref="BB21:BC21">
    <cfRule type="cellIs" dxfId="240" priority="46" stopIfTrue="1" operator="lessThan">
      <formula>0</formula>
    </cfRule>
  </conditionalFormatting>
  <conditionalFormatting sqref="BE21:BF21">
    <cfRule type="cellIs" dxfId="239" priority="45" stopIfTrue="1" operator="lessThan">
      <formula>0</formula>
    </cfRule>
  </conditionalFormatting>
  <conditionalFormatting sqref="I21:J21">
    <cfRule type="cellIs" dxfId="238" priority="44" stopIfTrue="1" operator="lessThan">
      <formula>0</formula>
    </cfRule>
  </conditionalFormatting>
  <conditionalFormatting sqref="L21:M21">
    <cfRule type="cellIs" dxfId="237" priority="43" stopIfTrue="1" operator="lessThan">
      <formula>0</formula>
    </cfRule>
  </conditionalFormatting>
  <conditionalFormatting sqref="O21:P21">
    <cfRule type="cellIs" dxfId="236" priority="42" stopIfTrue="1" operator="lessThan">
      <formula>0</formula>
    </cfRule>
  </conditionalFormatting>
  <conditionalFormatting sqref="R21:S21">
    <cfRule type="cellIs" dxfId="235" priority="41" stopIfTrue="1" operator="lessThan">
      <formula>0</formula>
    </cfRule>
  </conditionalFormatting>
  <conditionalFormatting sqref="U21:V21">
    <cfRule type="cellIs" dxfId="234" priority="40" stopIfTrue="1" operator="lessThan">
      <formula>0</formula>
    </cfRule>
  </conditionalFormatting>
  <conditionalFormatting sqref="X21:Y21">
    <cfRule type="cellIs" dxfId="233" priority="39" stopIfTrue="1" operator="lessThan">
      <formula>0</formula>
    </cfRule>
  </conditionalFormatting>
  <conditionalFormatting sqref="AA21:AB21">
    <cfRule type="cellIs" dxfId="232" priority="38" stopIfTrue="1" operator="lessThan">
      <formula>0</formula>
    </cfRule>
  </conditionalFormatting>
  <conditionalFormatting sqref="AD21:AE21">
    <cfRule type="cellIs" dxfId="231" priority="37" stopIfTrue="1" operator="lessThan">
      <formula>0</formula>
    </cfRule>
  </conditionalFormatting>
  <conditionalFormatting sqref="AG21:AH21">
    <cfRule type="cellIs" dxfId="230" priority="36" stopIfTrue="1" operator="lessThan">
      <formula>0</formula>
    </cfRule>
  </conditionalFormatting>
  <conditionalFormatting sqref="AJ21:AK21">
    <cfRule type="cellIs" dxfId="229" priority="35" stopIfTrue="1" operator="lessThan">
      <formula>0</formula>
    </cfRule>
  </conditionalFormatting>
  <conditionalFormatting sqref="AM21:AN21">
    <cfRule type="cellIs" dxfId="228" priority="34" stopIfTrue="1" operator="lessThan">
      <formula>0</formula>
    </cfRule>
  </conditionalFormatting>
  <conditionalFormatting sqref="AP21:AQ21">
    <cfRule type="cellIs" dxfId="227" priority="33" stopIfTrue="1" operator="lessThan">
      <formula>0</formula>
    </cfRule>
  </conditionalFormatting>
  <conditionalFormatting sqref="AS21:AT21">
    <cfRule type="cellIs" dxfId="226" priority="32" stopIfTrue="1" operator="lessThan">
      <formula>0</formula>
    </cfRule>
  </conditionalFormatting>
  <conditionalFormatting sqref="BH21:BI21">
    <cfRule type="cellIs" dxfId="225" priority="31" stopIfTrue="1" operator="lessThan">
      <formula>0</formula>
    </cfRule>
  </conditionalFormatting>
  <conditionalFormatting sqref="BK21:BL21">
    <cfRule type="cellIs" dxfId="224" priority="30" stopIfTrue="1" operator="lessThan">
      <formula>0</formula>
    </cfRule>
  </conditionalFormatting>
  <conditionalFormatting sqref="BN21:BO21">
    <cfRule type="cellIs" dxfId="223" priority="29" stopIfTrue="1" operator="lessThan">
      <formula>0</formula>
    </cfRule>
  </conditionalFormatting>
  <conditionalFormatting sqref="BQ21:BR21">
    <cfRule type="cellIs" dxfId="222" priority="28" stopIfTrue="1" operator="lessThan">
      <formula>0</formula>
    </cfRule>
  </conditionalFormatting>
  <conditionalFormatting sqref="BT21:BU21">
    <cfRule type="cellIs" dxfId="221" priority="27" stopIfTrue="1" operator="lessThan">
      <formula>0</formula>
    </cfRule>
  </conditionalFormatting>
  <conditionalFormatting sqref="BW21:BX21">
    <cfRule type="cellIs" dxfId="220" priority="26" stopIfTrue="1" operator="lessThan">
      <formula>0</formula>
    </cfRule>
  </conditionalFormatting>
  <conditionalFormatting sqref="BZ21:CA21">
    <cfRule type="cellIs" dxfId="219" priority="25" stopIfTrue="1" operator="lessThan">
      <formula>0</formula>
    </cfRule>
  </conditionalFormatting>
  <conditionalFormatting sqref="I23:J23">
    <cfRule type="cellIs" dxfId="218" priority="24" stopIfTrue="1" operator="lessThan">
      <formula>0</formula>
    </cfRule>
  </conditionalFormatting>
  <conditionalFormatting sqref="L23:M23">
    <cfRule type="cellIs" dxfId="217" priority="23" stopIfTrue="1" operator="lessThan">
      <formula>0</formula>
    </cfRule>
  </conditionalFormatting>
  <conditionalFormatting sqref="O23:P23">
    <cfRule type="cellIs" dxfId="216" priority="22" stopIfTrue="1" operator="lessThan">
      <formula>0</formula>
    </cfRule>
  </conditionalFormatting>
  <conditionalFormatting sqref="R23:S23">
    <cfRule type="cellIs" dxfId="215" priority="21" stopIfTrue="1" operator="lessThan">
      <formula>0</formula>
    </cfRule>
  </conditionalFormatting>
  <conditionalFormatting sqref="U23:V23">
    <cfRule type="cellIs" dxfId="214" priority="20" stopIfTrue="1" operator="lessThan">
      <formula>0</formula>
    </cfRule>
  </conditionalFormatting>
  <conditionalFormatting sqref="X23:Y23">
    <cfRule type="cellIs" dxfId="213" priority="19" stopIfTrue="1" operator="lessThan">
      <formula>0</formula>
    </cfRule>
  </conditionalFormatting>
  <conditionalFormatting sqref="AA23:AB23">
    <cfRule type="cellIs" dxfId="212" priority="18" stopIfTrue="1" operator="lessThan">
      <formula>0</formula>
    </cfRule>
  </conditionalFormatting>
  <conditionalFormatting sqref="AD23:AE23">
    <cfRule type="cellIs" dxfId="211" priority="17" stopIfTrue="1" operator="lessThan">
      <formula>0</formula>
    </cfRule>
  </conditionalFormatting>
  <conditionalFormatting sqref="AG23:AH23">
    <cfRule type="cellIs" dxfId="210" priority="16" stopIfTrue="1" operator="lessThan">
      <formula>0</formula>
    </cfRule>
  </conditionalFormatting>
  <conditionalFormatting sqref="AJ23:AK23">
    <cfRule type="cellIs" dxfId="209" priority="15" stopIfTrue="1" operator="lessThan">
      <formula>0</formula>
    </cfRule>
  </conditionalFormatting>
  <conditionalFormatting sqref="AM23:AN23">
    <cfRule type="cellIs" dxfId="208" priority="14" stopIfTrue="1" operator="lessThan">
      <formula>0</formula>
    </cfRule>
  </conditionalFormatting>
  <conditionalFormatting sqref="AP23:AQ23">
    <cfRule type="cellIs" dxfId="207" priority="13" stopIfTrue="1" operator="lessThan">
      <formula>0</formula>
    </cfRule>
  </conditionalFormatting>
  <conditionalFormatting sqref="AS23:AT23">
    <cfRule type="cellIs" dxfId="206" priority="12" stopIfTrue="1" operator="lessThan">
      <formula>0</formula>
    </cfRule>
  </conditionalFormatting>
  <conditionalFormatting sqref="AV23:AW23">
    <cfRule type="cellIs" dxfId="205" priority="11" stopIfTrue="1" operator="lessThan">
      <formula>0</formula>
    </cfRule>
  </conditionalFormatting>
  <conditionalFormatting sqref="AY23:AZ23">
    <cfRule type="cellIs" dxfId="204" priority="10" stopIfTrue="1" operator="lessThan">
      <formula>0</formula>
    </cfRule>
  </conditionalFormatting>
  <conditionalFormatting sqref="BB23:BC23">
    <cfRule type="cellIs" dxfId="203" priority="9" stopIfTrue="1" operator="lessThan">
      <formula>0</formula>
    </cfRule>
  </conditionalFormatting>
  <conditionalFormatting sqref="BE23:BF23">
    <cfRule type="cellIs" dxfId="202" priority="8" stopIfTrue="1" operator="lessThan">
      <formula>0</formula>
    </cfRule>
  </conditionalFormatting>
  <conditionalFormatting sqref="BH23:BI23">
    <cfRule type="cellIs" dxfId="201" priority="7" stopIfTrue="1" operator="lessThan">
      <formula>0</formula>
    </cfRule>
  </conditionalFormatting>
  <conditionalFormatting sqref="BK23:BL23">
    <cfRule type="cellIs" dxfId="200" priority="6" stopIfTrue="1" operator="lessThan">
      <formula>0</formula>
    </cfRule>
  </conditionalFormatting>
  <conditionalFormatting sqref="BN23:BO23">
    <cfRule type="cellIs" dxfId="199" priority="5" stopIfTrue="1" operator="lessThan">
      <formula>0</formula>
    </cfRule>
  </conditionalFormatting>
  <conditionalFormatting sqref="BQ23:BR23">
    <cfRule type="cellIs" dxfId="198" priority="4" stopIfTrue="1" operator="lessThan">
      <formula>0</formula>
    </cfRule>
  </conditionalFormatting>
  <conditionalFormatting sqref="BT23:BU23">
    <cfRule type="cellIs" dxfId="197" priority="3" stopIfTrue="1" operator="lessThan">
      <formula>0</formula>
    </cfRule>
  </conditionalFormatting>
  <conditionalFormatting sqref="BW23:BX23">
    <cfRule type="cellIs" dxfId="196" priority="2" stopIfTrue="1" operator="lessThan">
      <formula>0</formula>
    </cfRule>
  </conditionalFormatting>
  <conditionalFormatting sqref="BZ23:CA23">
    <cfRule type="cellIs" dxfId="195" priority="1" stopIfTrue="1" operator="lessThan">
      <formula>0</formula>
    </cfRule>
  </conditionalFormatting>
  <pageMargins left="0.35433070866141736" right="0.39370078740157483" top="0.35433070866141736" bottom="0.15748031496062992" header="0.15748031496062992" footer="0.15748031496062992"/>
  <pageSetup paperSize="8" scale="57" fitToWidth="0" fitToHeight="0" orientation="landscape" r:id="rId1"/>
  <headerFooter alignWithMargins="0"/>
  <colBreaks count="2" manualBreakCount="2">
    <brk id="45" max="50" man="1"/>
    <brk id="61" max="49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98"/>
  <sheetViews>
    <sheetView showZeros="0" view="pageBreakPreview" zoomScale="85" zoomScaleNormal="100" zoomScaleSheetLayoutView="85" workbookViewId="0">
      <selection activeCell="T40" sqref="T40:V41"/>
    </sheetView>
  </sheetViews>
  <sheetFormatPr defaultRowHeight="12.75" x14ac:dyDescent="0.2"/>
  <cols>
    <col min="1" max="1" width="3.28515625" style="381" customWidth="1"/>
    <col min="2" max="2" width="21.42578125" style="381" customWidth="1"/>
    <col min="3" max="3" width="12.140625" style="381" customWidth="1"/>
    <col min="4" max="4" width="6" style="381" customWidth="1"/>
    <col min="5" max="5" width="3" style="381" customWidth="1"/>
    <col min="6" max="6" width="6" style="381" customWidth="1"/>
    <col min="7" max="7" width="3.85546875" style="381" customWidth="1"/>
    <col min="8" max="8" width="7.28515625" style="381" customWidth="1"/>
    <col min="9" max="10" width="7.85546875" style="381" customWidth="1"/>
    <col min="11" max="11" width="7.28515625" style="381" customWidth="1"/>
    <col min="12" max="12" width="7.5703125" style="381" customWidth="1"/>
    <col min="13" max="13" width="7.7109375" style="381" bestFit="1" customWidth="1"/>
    <col min="14" max="14" width="7.28515625" style="381" customWidth="1"/>
    <col min="15" max="15" width="8.140625" style="381" customWidth="1"/>
    <col min="16" max="16" width="7.42578125" style="381" bestFit="1" customWidth="1"/>
    <col min="17" max="17" width="7.28515625" style="381" customWidth="1"/>
    <col min="18" max="18" width="7.5703125" style="381" customWidth="1"/>
    <col min="19" max="19" width="7.7109375" style="381" bestFit="1" customWidth="1"/>
    <col min="20" max="20" width="7.28515625" style="381" customWidth="1"/>
    <col min="21" max="21" width="7.5703125" style="381" customWidth="1"/>
    <col min="22" max="22" width="7.7109375" style="381" bestFit="1" customWidth="1"/>
    <col min="23" max="23" width="7.28515625" style="381" customWidth="1"/>
    <col min="24" max="24" width="7.5703125" style="381" customWidth="1"/>
    <col min="25" max="25" width="7.7109375" style="381" bestFit="1" customWidth="1"/>
    <col min="26" max="26" width="7.28515625" style="381" customWidth="1"/>
    <col min="27" max="27" width="7.5703125" style="381" customWidth="1"/>
    <col min="28" max="28" width="7.7109375" style="381" bestFit="1" customWidth="1"/>
    <col min="29" max="29" width="7.28515625" style="381" customWidth="1"/>
    <col min="30" max="30" width="7.5703125" style="381" customWidth="1"/>
    <col min="31" max="31" width="7.7109375" style="381" bestFit="1" customWidth="1"/>
    <col min="32" max="32" width="7.28515625" style="381" customWidth="1"/>
    <col min="33" max="34" width="8.42578125" style="381" customWidth="1"/>
    <col min="35" max="35" width="7.28515625" style="381" customWidth="1"/>
    <col min="36" max="36" width="7.5703125" style="381" customWidth="1"/>
    <col min="37" max="37" width="7.7109375" style="381" bestFit="1" customWidth="1"/>
    <col min="38" max="38" width="7.28515625" style="381" customWidth="1"/>
    <col min="39" max="40" width="8.140625" style="381" customWidth="1"/>
    <col min="41" max="41" width="7.28515625" style="381" customWidth="1"/>
    <col min="42" max="42" width="7.5703125" style="381" customWidth="1"/>
    <col min="43" max="43" width="7.7109375" style="381" bestFit="1" customWidth="1"/>
    <col min="44" max="44" width="7.28515625" style="381" customWidth="1"/>
    <col min="45" max="45" width="7.5703125" style="381" customWidth="1"/>
    <col min="46" max="46" width="6.7109375" style="381" customWidth="1"/>
    <col min="47" max="47" width="7.28515625" style="381" customWidth="1"/>
    <col min="48" max="48" width="7.5703125" style="381" customWidth="1"/>
    <col min="49" max="49" width="7.7109375" style="381" bestFit="1" customWidth="1"/>
    <col min="50" max="50" width="7.28515625" style="381" customWidth="1"/>
    <col min="51" max="51" width="7.5703125" style="381" customWidth="1"/>
    <col min="52" max="52" width="7.7109375" style="381" bestFit="1" customWidth="1"/>
    <col min="53" max="53" width="7.28515625" style="381" customWidth="1"/>
    <col min="54" max="54" width="7.5703125" style="381" customWidth="1"/>
    <col min="55" max="55" width="7.7109375" style="381" bestFit="1" customWidth="1"/>
    <col min="56" max="56" width="7.28515625" style="381" customWidth="1"/>
    <col min="57" max="57" width="7.5703125" style="381" customWidth="1"/>
    <col min="58" max="58" width="7.7109375" style="381" bestFit="1" customWidth="1"/>
    <col min="59" max="59" width="7.28515625" style="381" customWidth="1"/>
    <col min="60" max="60" width="7.5703125" style="381" customWidth="1"/>
    <col min="61" max="61" width="7.7109375" style="381" bestFit="1" customWidth="1"/>
    <col min="62" max="62" width="7.28515625" style="381" customWidth="1"/>
    <col min="63" max="63" width="7.5703125" style="381" customWidth="1"/>
    <col min="64" max="64" width="7.7109375" style="381" bestFit="1" customWidth="1"/>
    <col min="65" max="65" width="7.28515625" style="381" customWidth="1"/>
    <col min="66" max="66" width="7.5703125" style="381" customWidth="1"/>
    <col min="67" max="67" width="7.7109375" style="381" bestFit="1" customWidth="1"/>
    <col min="68" max="68" width="7.28515625" style="381" customWidth="1"/>
    <col min="69" max="69" width="7.5703125" style="381" customWidth="1"/>
    <col min="70" max="70" width="7.7109375" style="381" bestFit="1" customWidth="1"/>
    <col min="71" max="71" width="7.28515625" style="381" customWidth="1"/>
    <col min="72" max="72" width="7.5703125" style="381" customWidth="1"/>
    <col min="73" max="73" width="7.7109375" style="381" bestFit="1" customWidth="1"/>
    <col min="74" max="74" width="7.28515625" style="381" customWidth="1"/>
    <col min="75" max="75" width="7.5703125" style="381" customWidth="1"/>
    <col min="76" max="76" width="7.7109375" style="381" bestFit="1" customWidth="1"/>
    <col min="77" max="77" width="7.28515625" style="381" customWidth="1"/>
    <col min="78" max="78" width="7.5703125" style="381" customWidth="1"/>
    <col min="79" max="79" width="7.7109375" style="381" bestFit="1" customWidth="1"/>
    <col min="80" max="80" width="10.85546875" style="381" bestFit="1" customWidth="1"/>
    <col min="81" max="81" width="12" style="381" customWidth="1"/>
    <col min="82" max="16384" width="9.140625" style="381"/>
  </cols>
  <sheetData>
    <row r="1" spans="1:83" s="382" customFormat="1" ht="30" customHeight="1" x14ac:dyDescent="0.4">
      <c r="A1" s="495" t="s">
        <v>249</v>
      </c>
    </row>
    <row r="2" spans="1:83" s="382" customFormat="1" ht="26.25" x14ac:dyDescent="0.4">
      <c r="A2" s="496" t="s">
        <v>155</v>
      </c>
      <c r="C2" s="474"/>
      <c r="D2" s="474"/>
      <c r="E2" s="474"/>
    </row>
    <row r="3" spans="1:83" ht="13.5" thickBot="1" x14ac:dyDescent="0.25">
      <c r="B3" s="473"/>
      <c r="C3" s="473"/>
      <c r="D3" s="473"/>
      <c r="E3" s="473"/>
      <c r="F3" s="473"/>
      <c r="G3" s="473"/>
      <c r="H3" s="1023"/>
      <c r="I3" s="1024"/>
      <c r="J3" s="1023"/>
      <c r="K3" s="1023"/>
      <c r="L3" s="1024"/>
      <c r="M3" s="1023"/>
      <c r="N3" s="1023"/>
      <c r="O3" s="1024"/>
      <c r="P3" s="1023"/>
      <c r="Q3" s="1023"/>
      <c r="R3" s="1024"/>
      <c r="S3" s="1023"/>
      <c r="T3" s="1023"/>
      <c r="U3" s="1024"/>
      <c r="V3" s="1023"/>
      <c r="W3" s="1023"/>
      <c r="X3" s="1024"/>
      <c r="Y3" s="1023"/>
      <c r="Z3" s="1023"/>
      <c r="AA3" s="1024"/>
      <c r="AB3" s="1023"/>
      <c r="AC3" s="1023"/>
      <c r="AD3" s="1024"/>
      <c r="AE3" s="1023"/>
      <c r="AF3" s="1023"/>
      <c r="AG3" s="1024"/>
      <c r="AH3" s="1023"/>
      <c r="AI3" s="1023"/>
      <c r="AJ3" s="1024"/>
      <c r="AK3" s="1023"/>
      <c r="AL3" s="1023"/>
      <c r="AM3" s="1024"/>
      <c r="AN3" s="1023"/>
      <c r="AO3" s="1023"/>
      <c r="AP3" s="1024"/>
      <c r="AQ3" s="1023"/>
      <c r="AR3" s="1023"/>
      <c r="AS3" s="1024"/>
      <c r="AT3" s="1023"/>
      <c r="AU3" s="1023"/>
      <c r="AV3" s="1024"/>
      <c r="AW3" s="1023"/>
      <c r="AX3" s="1023"/>
      <c r="AY3" s="1024"/>
      <c r="AZ3" s="1023"/>
      <c r="BA3" s="1023"/>
      <c r="BB3" s="1024"/>
      <c r="BC3" s="1023"/>
      <c r="BD3" s="1023"/>
      <c r="BE3" s="1024"/>
      <c r="BF3" s="1023"/>
      <c r="BG3" s="1023"/>
      <c r="BH3" s="1024"/>
      <c r="BI3" s="1023"/>
      <c r="BJ3" s="1023"/>
      <c r="BK3" s="1024"/>
      <c r="BL3" s="1023"/>
      <c r="BM3" s="1023"/>
      <c r="BN3" s="1024"/>
      <c r="BO3" s="1023"/>
      <c r="BP3" s="1023"/>
      <c r="BQ3" s="1024"/>
      <c r="BR3" s="1023"/>
      <c r="BS3" s="1023"/>
      <c r="BT3" s="1024"/>
      <c r="BU3" s="1023"/>
      <c r="BV3" s="1023"/>
      <c r="BW3" s="1024"/>
      <c r="BX3" s="1023"/>
      <c r="BY3" s="1023"/>
      <c r="BZ3" s="1024"/>
      <c r="CA3" s="1023"/>
      <c r="CC3" s="910"/>
      <c r="CE3" s="529"/>
    </row>
    <row r="4" spans="1:83" ht="13.5" thickBot="1" x14ac:dyDescent="0.25">
      <c r="A4" s="2353" t="s">
        <v>12</v>
      </c>
      <c r="B4" s="2354"/>
      <c r="C4" s="2354"/>
      <c r="D4" s="2354"/>
      <c r="E4" s="2354"/>
      <c r="F4" s="2354"/>
      <c r="G4" s="2355"/>
      <c r="H4" s="2306" t="s">
        <v>156</v>
      </c>
      <c r="I4" s="2307"/>
      <c r="J4" s="2308"/>
      <c r="K4" s="2306" t="s">
        <v>157</v>
      </c>
      <c r="L4" s="2307"/>
      <c r="M4" s="2308"/>
      <c r="N4" s="2306" t="s">
        <v>158</v>
      </c>
      <c r="O4" s="2307"/>
      <c r="P4" s="2308"/>
      <c r="Q4" s="2306" t="s">
        <v>159</v>
      </c>
      <c r="R4" s="2307"/>
      <c r="S4" s="2308"/>
      <c r="T4" s="2306" t="s">
        <v>160</v>
      </c>
      <c r="U4" s="2307"/>
      <c r="V4" s="2308"/>
      <c r="W4" s="2306" t="s">
        <v>161</v>
      </c>
      <c r="X4" s="2307"/>
      <c r="Y4" s="2308"/>
      <c r="Z4" s="2306" t="s">
        <v>162</v>
      </c>
      <c r="AA4" s="2307"/>
      <c r="AB4" s="2308"/>
      <c r="AC4" s="2306" t="s">
        <v>163</v>
      </c>
      <c r="AD4" s="2307"/>
      <c r="AE4" s="2308"/>
      <c r="AF4" s="2306" t="s">
        <v>164</v>
      </c>
      <c r="AG4" s="2307"/>
      <c r="AH4" s="2308"/>
      <c r="AI4" s="2306" t="s">
        <v>165</v>
      </c>
      <c r="AJ4" s="2307"/>
      <c r="AK4" s="2308"/>
      <c r="AL4" s="2306" t="s">
        <v>166</v>
      </c>
      <c r="AM4" s="2307"/>
      <c r="AN4" s="2308"/>
      <c r="AO4" s="2306" t="s">
        <v>167</v>
      </c>
      <c r="AP4" s="2307"/>
      <c r="AQ4" s="2308"/>
      <c r="AR4" s="2306" t="s">
        <v>168</v>
      </c>
      <c r="AS4" s="2307"/>
      <c r="AT4" s="2308"/>
      <c r="AU4" s="2306" t="s">
        <v>169</v>
      </c>
      <c r="AV4" s="2307"/>
      <c r="AW4" s="2308"/>
      <c r="AX4" s="2306" t="s">
        <v>170</v>
      </c>
      <c r="AY4" s="2307"/>
      <c r="AZ4" s="2308"/>
      <c r="BA4" s="2306" t="s">
        <v>171</v>
      </c>
      <c r="BB4" s="2307"/>
      <c r="BC4" s="2308"/>
      <c r="BD4" s="2306" t="s">
        <v>172</v>
      </c>
      <c r="BE4" s="2307"/>
      <c r="BF4" s="2308"/>
      <c r="BG4" s="2306" t="s">
        <v>173</v>
      </c>
      <c r="BH4" s="2307"/>
      <c r="BI4" s="2308"/>
      <c r="BJ4" s="2306" t="s">
        <v>174</v>
      </c>
      <c r="BK4" s="2307"/>
      <c r="BL4" s="2308"/>
      <c r="BM4" s="2306" t="s">
        <v>175</v>
      </c>
      <c r="BN4" s="2307"/>
      <c r="BO4" s="2308"/>
      <c r="BP4" s="2306" t="s">
        <v>176</v>
      </c>
      <c r="BQ4" s="2307"/>
      <c r="BR4" s="2308"/>
      <c r="BS4" s="2306" t="s">
        <v>177</v>
      </c>
      <c r="BT4" s="2307"/>
      <c r="BU4" s="2308"/>
      <c r="BV4" s="2306" t="s">
        <v>178</v>
      </c>
      <c r="BW4" s="2307"/>
      <c r="BX4" s="2308"/>
      <c r="BY4" s="2306" t="s">
        <v>179</v>
      </c>
      <c r="BZ4" s="2307"/>
      <c r="CA4" s="2308"/>
    </row>
    <row r="5" spans="1:83" x14ac:dyDescent="0.2">
      <c r="A5" s="2228" t="s">
        <v>180</v>
      </c>
      <c r="B5" s="2229"/>
      <c r="C5" s="2232" t="s">
        <v>181</v>
      </c>
      <c r="D5" s="2234"/>
      <c r="E5" s="2235"/>
      <c r="F5" s="2235"/>
      <c r="G5" s="2236"/>
      <c r="H5" s="551" t="s">
        <v>4</v>
      </c>
      <c r="I5" s="552" t="s">
        <v>9</v>
      </c>
      <c r="J5" s="553" t="s">
        <v>10</v>
      </c>
      <c r="K5" s="551" t="s">
        <v>4</v>
      </c>
      <c r="L5" s="552" t="s">
        <v>9</v>
      </c>
      <c r="M5" s="553" t="s">
        <v>10</v>
      </c>
      <c r="N5" s="551" t="s">
        <v>4</v>
      </c>
      <c r="O5" s="552" t="s">
        <v>9</v>
      </c>
      <c r="P5" s="553" t="s">
        <v>10</v>
      </c>
      <c r="Q5" s="551" t="s">
        <v>4</v>
      </c>
      <c r="R5" s="552" t="s">
        <v>9</v>
      </c>
      <c r="S5" s="553" t="s">
        <v>10</v>
      </c>
      <c r="T5" s="551" t="s">
        <v>4</v>
      </c>
      <c r="U5" s="552" t="s">
        <v>9</v>
      </c>
      <c r="V5" s="553" t="s">
        <v>10</v>
      </c>
      <c r="W5" s="551" t="s">
        <v>4</v>
      </c>
      <c r="X5" s="552" t="s">
        <v>9</v>
      </c>
      <c r="Y5" s="553" t="s">
        <v>10</v>
      </c>
      <c r="Z5" s="551" t="s">
        <v>4</v>
      </c>
      <c r="AA5" s="552" t="s">
        <v>9</v>
      </c>
      <c r="AB5" s="553" t="s">
        <v>10</v>
      </c>
      <c r="AC5" s="551" t="s">
        <v>4</v>
      </c>
      <c r="AD5" s="552" t="s">
        <v>9</v>
      </c>
      <c r="AE5" s="553" t="s">
        <v>10</v>
      </c>
      <c r="AF5" s="551" t="s">
        <v>4</v>
      </c>
      <c r="AG5" s="552" t="s">
        <v>9</v>
      </c>
      <c r="AH5" s="553" t="s">
        <v>10</v>
      </c>
      <c r="AI5" s="551" t="s">
        <v>4</v>
      </c>
      <c r="AJ5" s="552" t="s">
        <v>9</v>
      </c>
      <c r="AK5" s="553" t="s">
        <v>10</v>
      </c>
      <c r="AL5" s="551" t="s">
        <v>4</v>
      </c>
      <c r="AM5" s="552" t="s">
        <v>9</v>
      </c>
      <c r="AN5" s="553" t="s">
        <v>10</v>
      </c>
      <c r="AO5" s="551" t="s">
        <v>4</v>
      </c>
      <c r="AP5" s="552" t="s">
        <v>9</v>
      </c>
      <c r="AQ5" s="553" t="s">
        <v>10</v>
      </c>
      <c r="AR5" s="551" t="s">
        <v>4</v>
      </c>
      <c r="AS5" s="552" t="s">
        <v>9</v>
      </c>
      <c r="AT5" s="553" t="s">
        <v>10</v>
      </c>
      <c r="AU5" s="551" t="s">
        <v>4</v>
      </c>
      <c r="AV5" s="552" t="s">
        <v>9</v>
      </c>
      <c r="AW5" s="553" t="s">
        <v>10</v>
      </c>
      <c r="AX5" s="551" t="s">
        <v>4</v>
      </c>
      <c r="AY5" s="552" t="s">
        <v>9</v>
      </c>
      <c r="AZ5" s="553" t="s">
        <v>10</v>
      </c>
      <c r="BA5" s="551" t="s">
        <v>4</v>
      </c>
      <c r="BB5" s="552" t="s">
        <v>9</v>
      </c>
      <c r="BC5" s="553" t="s">
        <v>10</v>
      </c>
      <c r="BD5" s="551" t="s">
        <v>4</v>
      </c>
      <c r="BE5" s="552" t="s">
        <v>9</v>
      </c>
      <c r="BF5" s="553" t="s">
        <v>10</v>
      </c>
      <c r="BG5" s="551" t="s">
        <v>4</v>
      </c>
      <c r="BH5" s="552" t="s">
        <v>9</v>
      </c>
      <c r="BI5" s="553" t="s">
        <v>10</v>
      </c>
      <c r="BJ5" s="551" t="s">
        <v>4</v>
      </c>
      <c r="BK5" s="552" t="s">
        <v>9</v>
      </c>
      <c r="BL5" s="553" t="s">
        <v>10</v>
      </c>
      <c r="BM5" s="551" t="s">
        <v>4</v>
      </c>
      <c r="BN5" s="552" t="s">
        <v>9</v>
      </c>
      <c r="BO5" s="553" t="s">
        <v>10</v>
      </c>
      <c r="BP5" s="551" t="s">
        <v>4</v>
      </c>
      <c r="BQ5" s="552" t="s">
        <v>9</v>
      </c>
      <c r="BR5" s="553" t="s">
        <v>10</v>
      </c>
      <c r="BS5" s="551" t="s">
        <v>4</v>
      </c>
      <c r="BT5" s="552" t="s">
        <v>9</v>
      </c>
      <c r="BU5" s="553" t="s">
        <v>10</v>
      </c>
      <c r="BV5" s="551" t="s">
        <v>4</v>
      </c>
      <c r="BW5" s="552" t="s">
        <v>9</v>
      </c>
      <c r="BX5" s="553" t="s">
        <v>10</v>
      </c>
      <c r="BY5" s="551" t="s">
        <v>4</v>
      </c>
      <c r="BZ5" s="552" t="s">
        <v>9</v>
      </c>
      <c r="CA5" s="553" t="s">
        <v>10</v>
      </c>
    </row>
    <row r="6" spans="1:83" ht="13.5" thickBot="1" x14ac:dyDescent="0.25">
      <c r="A6" s="2230"/>
      <c r="B6" s="2231"/>
      <c r="C6" s="2233"/>
      <c r="D6" s="2237"/>
      <c r="E6" s="2238"/>
      <c r="F6" s="2238"/>
      <c r="G6" s="2239"/>
      <c r="H6" s="916" t="s">
        <v>30</v>
      </c>
      <c r="I6" s="917" t="s">
        <v>31</v>
      </c>
      <c r="J6" s="918" t="s">
        <v>32</v>
      </c>
      <c r="K6" s="916" t="s">
        <v>30</v>
      </c>
      <c r="L6" s="917" t="s">
        <v>31</v>
      </c>
      <c r="M6" s="918" t="s">
        <v>32</v>
      </c>
      <c r="N6" s="916" t="s">
        <v>30</v>
      </c>
      <c r="O6" s="917" t="s">
        <v>31</v>
      </c>
      <c r="P6" s="918" t="s">
        <v>32</v>
      </c>
      <c r="Q6" s="916" t="s">
        <v>30</v>
      </c>
      <c r="R6" s="917" t="s">
        <v>31</v>
      </c>
      <c r="S6" s="918" t="s">
        <v>32</v>
      </c>
      <c r="T6" s="916" t="s">
        <v>30</v>
      </c>
      <c r="U6" s="917" t="s">
        <v>31</v>
      </c>
      <c r="V6" s="918" t="s">
        <v>32</v>
      </c>
      <c r="W6" s="916" t="s">
        <v>30</v>
      </c>
      <c r="X6" s="917" t="s">
        <v>31</v>
      </c>
      <c r="Y6" s="918" t="s">
        <v>32</v>
      </c>
      <c r="Z6" s="916" t="s">
        <v>30</v>
      </c>
      <c r="AA6" s="917" t="s">
        <v>31</v>
      </c>
      <c r="AB6" s="918" t="s">
        <v>32</v>
      </c>
      <c r="AC6" s="916" t="s">
        <v>30</v>
      </c>
      <c r="AD6" s="917" t="s">
        <v>31</v>
      </c>
      <c r="AE6" s="918" t="s">
        <v>32</v>
      </c>
      <c r="AF6" s="916" t="s">
        <v>30</v>
      </c>
      <c r="AG6" s="917" t="s">
        <v>31</v>
      </c>
      <c r="AH6" s="918" t="s">
        <v>32</v>
      </c>
      <c r="AI6" s="916" t="s">
        <v>30</v>
      </c>
      <c r="AJ6" s="917" t="s">
        <v>31</v>
      </c>
      <c r="AK6" s="918" t="s">
        <v>32</v>
      </c>
      <c r="AL6" s="916" t="s">
        <v>30</v>
      </c>
      <c r="AM6" s="917" t="s">
        <v>31</v>
      </c>
      <c r="AN6" s="918" t="s">
        <v>32</v>
      </c>
      <c r="AO6" s="916" t="s">
        <v>30</v>
      </c>
      <c r="AP6" s="917" t="s">
        <v>31</v>
      </c>
      <c r="AQ6" s="918" t="s">
        <v>32</v>
      </c>
      <c r="AR6" s="916" t="s">
        <v>30</v>
      </c>
      <c r="AS6" s="917" t="s">
        <v>31</v>
      </c>
      <c r="AT6" s="918" t="s">
        <v>32</v>
      </c>
      <c r="AU6" s="916" t="s">
        <v>30</v>
      </c>
      <c r="AV6" s="917" t="s">
        <v>31</v>
      </c>
      <c r="AW6" s="918" t="s">
        <v>32</v>
      </c>
      <c r="AX6" s="916" t="s">
        <v>30</v>
      </c>
      <c r="AY6" s="917" t="s">
        <v>31</v>
      </c>
      <c r="AZ6" s="918" t="s">
        <v>32</v>
      </c>
      <c r="BA6" s="916" t="s">
        <v>30</v>
      </c>
      <c r="BB6" s="917" t="s">
        <v>31</v>
      </c>
      <c r="BC6" s="918" t="s">
        <v>32</v>
      </c>
      <c r="BD6" s="916" t="s">
        <v>30</v>
      </c>
      <c r="BE6" s="917" t="s">
        <v>31</v>
      </c>
      <c r="BF6" s="918" t="s">
        <v>32</v>
      </c>
      <c r="BG6" s="916" t="s">
        <v>30</v>
      </c>
      <c r="BH6" s="917" t="s">
        <v>31</v>
      </c>
      <c r="BI6" s="918" t="s">
        <v>32</v>
      </c>
      <c r="BJ6" s="916" t="s">
        <v>30</v>
      </c>
      <c r="BK6" s="917" t="s">
        <v>31</v>
      </c>
      <c r="BL6" s="918" t="s">
        <v>32</v>
      </c>
      <c r="BM6" s="916" t="s">
        <v>30</v>
      </c>
      <c r="BN6" s="917" t="s">
        <v>31</v>
      </c>
      <c r="BO6" s="918" t="s">
        <v>32</v>
      </c>
      <c r="BP6" s="916" t="s">
        <v>30</v>
      </c>
      <c r="BQ6" s="917" t="s">
        <v>31</v>
      </c>
      <c r="BR6" s="918" t="s">
        <v>32</v>
      </c>
      <c r="BS6" s="916" t="s">
        <v>30</v>
      </c>
      <c r="BT6" s="917" t="s">
        <v>31</v>
      </c>
      <c r="BU6" s="918" t="s">
        <v>32</v>
      </c>
      <c r="BV6" s="916" t="s">
        <v>30</v>
      </c>
      <c r="BW6" s="917" t="s">
        <v>31</v>
      </c>
      <c r="BX6" s="918" t="s">
        <v>32</v>
      </c>
      <c r="BY6" s="916" t="s">
        <v>30</v>
      </c>
      <c r="BZ6" s="917" t="s">
        <v>31</v>
      </c>
      <c r="CA6" s="918" t="s">
        <v>32</v>
      </c>
    </row>
    <row r="7" spans="1:83" x14ac:dyDescent="0.2">
      <c r="A7" s="2240" t="s">
        <v>0</v>
      </c>
      <c r="B7" s="2241"/>
      <c r="C7" s="2246">
        <v>25</v>
      </c>
      <c r="D7" s="2249" t="s">
        <v>13</v>
      </c>
      <c r="E7" s="2250"/>
      <c r="F7" s="2255" t="s">
        <v>33</v>
      </c>
      <c r="G7" s="2256"/>
      <c r="H7" s="1025">
        <f>SQRT(I7^2+J7^2)*1000/(1.73*I10)</f>
        <v>34.03582870649565</v>
      </c>
      <c r="I7" s="532">
        <v>6.3492000000000006</v>
      </c>
      <c r="J7" s="532">
        <v>1.2804</v>
      </c>
      <c r="K7" s="1025">
        <f>SQRT(L7^2+M7^2)*1000/(1.73*L10)</f>
        <v>32.187661836896119</v>
      </c>
      <c r="L7" s="532">
        <v>5.9927999999999999</v>
      </c>
      <c r="M7" s="532">
        <v>1.2672000000000001</v>
      </c>
      <c r="N7" s="1025">
        <f>SQRT(O7^2+P7^2)*1000/(1.73*O10)</f>
        <v>31.155706883903807</v>
      </c>
      <c r="O7" s="532">
        <v>5.7948000000000004</v>
      </c>
      <c r="P7" s="532">
        <v>1.254</v>
      </c>
      <c r="Q7" s="1025">
        <f>SQRT(R7^2+S7^2)*1000/(1.73*R10)</f>
        <v>30.869857636993572</v>
      </c>
      <c r="R7" s="532">
        <v>5.742</v>
      </c>
      <c r="S7" s="532">
        <v>1.2407999999999999</v>
      </c>
      <c r="T7" s="1025">
        <f>SQRT(U7^2+V7^2)*1000/(1.73*U10)</f>
        <v>31.170451494051409</v>
      </c>
      <c r="U7" s="532">
        <v>5.7948000000000004</v>
      </c>
      <c r="V7" s="532">
        <v>1.2672000000000001</v>
      </c>
      <c r="W7" s="1025">
        <f>SQRT(X7^2+Y7^2)*1000/(1.73*X10)</f>
        <v>32.40561205623932</v>
      </c>
      <c r="X7" s="532">
        <v>6.0324</v>
      </c>
      <c r="Y7" s="532">
        <v>1.2804</v>
      </c>
      <c r="Z7" s="1025">
        <f>SQRT(AA7^2+AB7^2)*1000/(1.73*AA10)</f>
        <v>36.824792662997105</v>
      </c>
      <c r="AA7" s="532">
        <v>6.8772000000000002</v>
      </c>
      <c r="AB7" s="532">
        <v>1.3464</v>
      </c>
      <c r="AC7" s="1025">
        <f>SQRT(AD7^2+AE7^2)*1000/(1.73*AD10)</f>
        <v>40.79916035716721</v>
      </c>
      <c r="AD7" s="532">
        <v>7.6295999999999999</v>
      </c>
      <c r="AE7" s="532">
        <v>1.4387999999999999</v>
      </c>
      <c r="AF7" s="1025">
        <f>SQRT(AG7^2+AH7^2)*1000/(1.73*AG10)</f>
        <v>42.299685460095972</v>
      </c>
      <c r="AG7" s="532">
        <v>7.92</v>
      </c>
      <c r="AH7" s="532">
        <v>1.4387999999999999</v>
      </c>
      <c r="AI7" s="1025">
        <f>SQRT(AJ7^2+AK7^2)*1000/(1.73*AJ10)</f>
        <v>42.858071902981557</v>
      </c>
      <c r="AJ7" s="532">
        <v>8.0256000000000007</v>
      </c>
      <c r="AK7" s="532">
        <v>1.452</v>
      </c>
      <c r="AL7" s="1025">
        <f>SQRT(AM7^2+AN7^2)*1000/(1.73*AM10)</f>
        <v>43.21170166842802</v>
      </c>
      <c r="AM7" s="532">
        <v>8.0915999999999997</v>
      </c>
      <c r="AN7" s="532">
        <v>1.4652000000000001</v>
      </c>
      <c r="AO7" s="1025">
        <f>SQRT(AP7^2+AQ7^2)*1000/(1.73*AP10)</f>
        <v>43.782469943986378</v>
      </c>
      <c r="AP7" s="532">
        <v>8.1972000000000005</v>
      </c>
      <c r="AQ7" s="532">
        <v>1.4915999999999998</v>
      </c>
      <c r="AR7" s="1025">
        <f>SQRT(AS7^2+AT7^2)*1000/(1.73*AS10)</f>
        <v>44.285038364451701</v>
      </c>
      <c r="AS7" s="532">
        <v>8.2895999999999983</v>
      </c>
      <c r="AT7" s="532">
        <v>1.518</v>
      </c>
      <c r="AU7" s="1025">
        <f>SQRT(AV7^2+AW7^2)*1000/(1.73*AV10)</f>
        <v>43.64598990471255</v>
      </c>
      <c r="AV7" s="532">
        <v>8.1707999999999998</v>
      </c>
      <c r="AW7" s="532">
        <v>1.4915999999999998</v>
      </c>
      <c r="AX7" s="1025">
        <f>SQRT(AY7^2+AZ7^2)*1000/(1.73*AY10)</f>
        <v>43.032007665435877</v>
      </c>
      <c r="AY7" s="532">
        <v>8.0519999999999996</v>
      </c>
      <c r="AZ7" s="532">
        <v>1.4915999999999998</v>
      </c>
      <c r="BA7" s="1025">
        <f>SQRT(BB7^2+BC7^2)*1000/(1.73*BB10)</f>
        <v>43.622358681351052</v>
      </c>
      <c r="BB7" s="532">
        <v>8.25</v>
      </c>
      <c r="BC7" s="532">
        <v>1.452</v>
      </c>
      <c r="BD7" s="1025">
        <f>SQRT(BE7^2+BF7^2)*1000/(1.73*BE10)</f>
        <v>45.454224645683546</v>
      </c>
      <c r="BE7" s="532">
        <v>8.5272000000000006</v>
      </c>
      <c r="BF7" s="532">
        <v>1.452</v>
      </c>
      <c r="BG7" s="1025">
        <f>SQRT(BH7^2+BI7^2)*1000/(1.73*BH10)</f>
        <v>45.932956356722229</v>
      </c>
      <c r="BH7" s="532">
        <v>8.6196000000000002</v>
      </c>
      <c r="BI7" s="532">
        <v>1.452</v>
      </c>
      <c r="BJ7" s="1025">
        <f>SQRT(BK7^2+BL7^2)*1000/(1.73*BK10)</f>
        <v>47.165385869767285</v>
      </c>
      <c r="BK7" s="532">
        <v>8.8439999999999994</v>
      </c>
      <c r="BL7" s="532">
        <v>1.5312000000000001</v>
      </c>
      <c r="BM7" s="1025">
        <f>SQRT(BN7^2+BO7^2)*1000/(1.73*BN10)</f>
        <v>47.153602130259337</v>
      </c>
      <c r="BN7" s="532">
        <v>8.8439999999999994</v>
      </c>
      <c r="BO7" s="532">
        <v>1.518</v>
      </c>
      <c r="BP7" s="1025">
        <f>SQRT(BQ7^2+BR7^2)*1000/(1.73*BQ10)</f>
        <v>45.956204537297843</v>
      </c>
      <c r="BQ7" s="532">
        <v>8.6196000000000002</v>
      </c>
      <c r="BR7" s="532">
        <v>1.4784000000000002</v>
      </c>
      <c r="BS7" s="1025">
        <f>SQRT(BT7^2+BU7^2)*1000/(1.73*BT10)</f>
        <v>44.292208412069982</v>
      </c>
      <c r="BT7" s="532">
        <v>8.3027999999999995</v>
      </c>
      <c r="BU7" s="532">
        <v>1.452</v>
      </c>
      <c r="BV7" s="1025">
        <f>SQRT(BW7^2+BX7^2)*1000/(1.73*BW10)</f>
        <v>41.263748206320464</v>
      </c>
      <c r="BW7" s="532">
        <v>7.7220000000000004</v>
      </c>
      <c r="BX7" s="532">
        <v>1.4256</v>
      </c>
      <c r="BY7" s="1025">
        <f>SQRT(BZ7^2+CA7^2)*1000/(1.73*BZ10)</f>
        <v>37.382714446249643</v>
      </c>
      <c r="BZ7" s="532">
        <v>6.9827999999999992</v>
      </c>
      <c r="CA7" s="532">
        <v>1.3595999999999999</v>
      </c>
      <c r="CB7" s="618">
        <f>SUM(BZ7,BW7,BT7,BQ7,BN7,BK7,BH7,BE7,BB7,AY7,AV7,AS7,AP7,AM7,AJ7,AG7,AD7,AA7,X7,U7,R7,O7,L7,I7)</f>
        <v>181.67159999999996</v>
      </c>
      <c r="CC7" s="618">
        <f>SUM(CA7,BX7,BU7,BR7,BO7,BL7,BI7,BF7,BC7,AZ7,AW7,AT7,AQ7,AN7,AK7,AH7,AE7,AB7,Y7,V7,S7,P7,M7,J7)</f>
        <v>33.844799999999999</v>
      </c>
      <c r="CE7" s="529"/>
    </row>
    <row r="8" spans="1:83" x14ac:dyDescent="0.2">
      <c r="A8" s="2242"/>
      <c r="B8" s="2243"/>
      <c r="C8" s="2247"/>
      <c r="D8" s="2251"/>
      <c r="E8" s="2252"/>
      <c r="F8" s="2257" t="s">
        <v>34</v>
      </c>
      <c r="G8" s="2258"/>
      <c r="H8" s="518">
        <f>SQRT(I8^2+J8^2)*1000/(1.73*I11)</f>
        <v>364.08010189751832</v>
      </c>
      <c r="I8" s="815">
        <f>(I21+I31)</f>
        <v>6.3377039999999996</v>
      </c>
      <c r="J8" s="815">
        <f>(J21+J31)</f>
        <v>1.0528279999999999</v>
      </c>
      <c r="K8" s="518">
        <f>SQRT(L8^2+M8^2)*1000/(1.73*L11)</f>
        <v>344.83664568286548</v>
      </c>
      <c r="L8" s="815">
        <f>(L21+L31)</f>
        <v>5.9911720000000006</v>
      </c>
      <c r="M8" s="815">
        <f>(M21+M31)</f>
        <v>1.064392</v>
      </c>
      <c r="N8" s="518">
        <f>SQRT(O8^2+P8^2)*1000/(1.73*O11)</f>
        <v>332.9017291617825</v>
      </c>
      <c r="O8" s="815">
        <f>(O21+O31)</f>
        <v>5.7772040000000011</v>
      </c>
      <c r="P8" s="815">
        <f>(P21+P31)</f>
        <v>1.0640960000000002</v>
      </c>
      <c r="Q8" s="518">
        <f>SQRT(R8^2+S8^2)*1000/(1.73*R11)</f>
        <v>331.10677282114483</v>
      </c>
      <c r="R8" s="815">
        <f>(R21+R31)</f>
        <v>5.7452040000000002</v>
      </c>
      <c r="S8" s="815">
        <f>(S21+S31)</f>
        <v>1.0629640000000002</v>
      </c>
      <c r="T8" s="518">
        <f>SQRT(U8^2+V8^2)*1000/(1.73*U11)</f>
        <v>333.14684495901861</v>
      </c>
      <c r="U8" s="815">
        <f>(U21+U31)</f>
        <v>5.7808399999999995</v>
      </c>
      <c r="V8" s="815">
        <f>(V21+V31)</f>
        <v>1.068228</v>
      </c>
      <c r="W8" s="518">
        <f>SQRT(X8^2+Y8^2)*1000/(1.73*X11)</f>
        <v>347.54462821743584</v>
      </c>
      <c r="X8" s="815">
        <f>(X21+X31)</f>
        <v>6.0362719999999994</v>
      </c>
      <c r="Y8" s="815">
        <f>(Y21+Y31)</f>
        <v>1.0836599999999998</v>
      </c>
      <c r="Z8" s="518">
        <f>SQRT(AA8^2+AB8^2)*1000/(1.73*AA11)</f>
        <v>393.75361025436894</v>
      </c>
      <c r="AA8" s="815">
        <f>(AA21+AA31)</f>
        <v>6.8618080000000008</v>
      </c>
      <c r="AB8" s="815">
        <f>(AB21+AB31)</f>
        <v>1.0921279999999998</v>
      </c>
      <c r="AC8" s="518">
        <f>SQRT(AD8^2+AE8^2)*1000/(1.73*AD11)</f>
        <v>436.3770777917253</v>
      </c>
      <c r="AD8" s="815">
        <f>(AD21+AD31)</f>
        <v>7.6185320000000001</v>
      </c>
      <c r="AE8" s="815">
        <f>(AE21+AE31)</f>
        <v>1.1192599999999999</v>
      </c>
      <c r="AF8" s="518">
        <f>SQRT(AG8^2+AH8^2)*1000/(1.73*AG11)</f>
        <v>453.07228397917635</v>
      </c>
      <c r="AG8" s="815">
        <f>(AG21+AG31)</f>
        <v>7.9182240000000004</v>
      </c>
      <c r="AH8" s="815">
        <f>(AH21+AH31)</f>
        <v>1.1047040000000001</v>
      </c>
      <c r="AI8" s="518">
        <f>SQRT(AJ8^2+AK8^2)*1000/(1.73*AJ11)</f>
        <v>458.41766995533402</v>
      </c>
      <c r="AJ8" s="815">
        <f>(AJ21+AJ31)</f>
        <v>8.0161879999999996</v>
      </c>
      <c r="AK8" s="815">
        <f>(AK21+AK31)</f>
        <v>1.0846680000000002</v>
      </c>
      <c r="AL8" s="518">
        <f>SQRT(AM8^2+AN8^2)*1000/(1.73*AM11)</f>
        <v>462.21121674883182</v>
      </c>
      <c r="AM8" s="815">
        <f>(AM21+AM31)</f>
        <v>8.0807119999999983</v>
      </c>
      <c r="AN8" s="815">
        <f>(AN21+AN31)</f>
        <v>1.1069560000000001</v>
      </c>
      <c r="AO8" s="518">
        <f>SQRT(AP8^2+AQ8^2)*1000/(1.73*AP11)</f>
        <v>467.79792857534693</v>
      </c>
      <c r="AP8" s="815">
        <f>(AP21+AP31)</f>
        <v>8.1784239999999997</v>
      </c>
      <c r="AQ8" s="815">
        <f>(AQ21+AQ31)</f>
        <v>1.120036</v>
      </c>
      <c r="AR8" s="518">
        <f>SQRT(AS8^2+AT8^2)*1000/(1.73*AS11)</f>
        <v>473.88318566935027</v>
      </c>
      <c r="AS8" s="815">
        <f>(AS21+AS31)</f>
        <v>8.282864</v>
      </c>
      <c r="AT8" s="815">
        <f>(AT21+AT31)</f>
        <v>1.1487360000000002</v>
      </c>
      <c r="AU8" s="518">
        <f>SQRT(AV8^2+AW8^2)*1000/(1.73*AV11)</f>
        <v>466.93591718444736</v>
      </c>
      <c r="AV8" s="815">
        <f>(AV21+AV31)</f>
        <v>8.1619320000000002</v>
      </c>
      <c r="AW8" s="815">
        <f>(AW21+AW31)</f>
        <v>1.128304</v>
      </c>
      <c r="AX8" s="518">
        <f>SQRT(AY8^2+AZ8^2)*1000/(1.73*AY11)</f>
        <v>460.09197462669198</v>
      </c>
      <c r="AY8" s="815">
        <f>(AY21+AY31)</f>
        <v>8.0389560000000007</v>
      </c>
      <c r="AZ8" s="815">
        <f>(AZ21+AZ31)</f>
        <v>1.135704</v>
      </c>
      <c r="BA8" s="518">
        <f>SQRT(BB8^2+BC8^2)*1000/(1.73*BB11)</f>
        <v>471.32680872929097</v>
      </c>
      <c r="BB8" s="815">
        <f>(BB21+BB31)</f>
        <v>8.2468920000000008</v>
      </c>
      <c r="BC8" s="815">
        <f>(BC21+BC31)</f>
        <v>1.0778719999999999</v>
      </c>
      <c r="BD8" s="518">
        <f>SQRT(BE8^2+BF8^2)*1000/(1.73*BE11)</f>
        <v>486.18387969328279</v>
      </c>
      <c r="BE8" s="815">
        <f>(BE21+BE31)</f>
        <v>8.5159000000000002</v>
      </c>
      <c r="BF8" s="815">
        <f>(BF21+BF31)</f>
        <v>1.0402560000000001</v>
      </c>
      <c r="BG8" s="518">
        <f>SQRT(BH8^2+BI8^2)*1000/(1.73*BH11)</f>
        <v>491.10850716971157</v>
      </c>
      <c r="BH8" s="815">
        <f>(BH21+BH31)</f>
        <v>8.6031119999999976</v>
      </c>
      <c r="BI8" s="815">
        <f>(BI21+BI31)</f>
        <v>1.0429599999999999</v>
      </c>
      <c r="BJ8" s="518">
        <f>SQRT(BK8^2+BL8^2)*1000/(1.73*BK11)</f>
        <v>502.93068507952904</v>
      </c>
      <c r="BK8" s="815">
        <f>(BK21+BK31)</f>
        <v>8.8091560000000015</v>
      </c>
      <c r="BL8" s="815">
        <f>(BL21+BL31)</f>
        <v>1.076724</v>
      </c>
      <c r="BM8" s="518">
        <f>SQRT(BN8^2+BO8^2)*1000/(1.73*BN11)</f>
        <v>503.17786166949833</v>
      </c>
      <c r="BN8" s="815">
        <f>(BN21+BN31)</f>
        <v>8.8134680000000003</v>
      </c>
      <c r="BO8" s="815">
        <f>(BO21+BO31)</f>
        <v>1.0773960000000002</v>
      </c>
      <c r="BP8" s="518">
        <f>SQRT(BQ8^2+BR8^2)*1000/(1.73*BQ11)</f>
        <v>490.21398211515361</v>
      </c>
      <c r="BQ8" s="815">
        <f>(BQ21+BQ31)</f>
        <v>8.5872599999999988</v>
      </c>
      <c r="BR8" s="815">
        <f>(BR21+BR31)</f>
        <v>1.0425599999999999</v>
      </c>
      <c r="BS8" s="518">
        <f>SQRT(BT8^2+BU8^2)*1000/(1.73*BT11)</f>
        <v>472.50194318417545</v>
      </c>
      <c r="BT8" s="815">
        <f>(BT21+BT31)</f>
        <v>8.2709080000000004</v>
      </c>
      <c r="BU8" s="815">
        <f>(BU21+BU31)</f>
        <v>1.0537920000000001</v>
      </c>
      <c r="BV8" s="518">
        <f>SQRT(BW8^2+BX8^2)*1000/(1.73*BW11)</f>
        <v>439.75194306143925</v>
      </c>
      <c r="BW8" s="815">
        <f>(BW21+BW31)</f>
        <v>7.6862440000000003</v>
      </c>
      <c r="BX8" s="815">
        <f>(BX21+BX31)</f>
        <v>1.06636</v>
      </c>
      <c r="BY8" s="518">
        <f>SQRT(BZ8^2+CA8^2)*1000/(1.73*BZ11)</f>
        <v>399.17280530709695</v>
      </c>
      <c r="BZ8" s="815">
        <f>(BZ21+BZ31)</f>
        <v>6.9615880000000008</v>
      </c>
      <c r="CA8" s="815">
        <f>(CA21+CA31)</f>
        <v>1.0730600000000001</v>
      </c>
      <c r="CB8" s="618">
        <f>SUM(BZ8,BW8,BT8,BQ8,BN8,BK8,BH8,BE8,BB8,AY8,AV8,AS8,AP8,AM8,AJ8,AG8,AD8,AA8,X8,U8,R8,O8,L8,I8)</f>
        <v>181.32056400000002</v>
      </c>
      <c r="CC8" s="618">
        <f>SUM(CA8,BX8,BU8,BR8,BO8,BL8,BI8,BF8,BC8,AZ8,AW8,AT8,AQ8,AN8,AK8,AH8,AE8,AB8,Y8,V8,S8,P8,M8,J8)</f>
        <v>25.987644000000003</v>
      </c>
    </row>
    <row r="9" spans="1:83" ht="13.5" customHeight="1" thickBot="1" x14ac:dyDescent="0.25">
      <c r="A9" s="2242"/>
      <c r="B9" s="2243"/>
      <c r="C9" s="2247"/>
      <c r="D9" s="2253"/>
      <c r="E9" s="2254"/>
      <c r="F9" s="2259"/>
      <c r="G9" s="2260"/>
      <c r="H9" s="523" t="s">
        <v>84</v>
      </c>
      <c r="I9" s="524" t="s">
        <v>84</v>
      </c>
      <c r="J9" s="525" t="s">
        <v>84</v>
      </c>
      <c r="K9" s="523" t="s">
        <v>84</v>
      </c>
      <c r="L9" s="524" t="s">
        <v>84</v>
      </c>
      <c r="M9" s="525" t="s">
        <v>84</v>
      </c>
      <c r="N9" s="523" t="s">
        <v>84</v>
      </c>
      <c r="O9" s="524" t="s">
        <v>84</v>
      </c>
      <c r="P9" s="525" t="s">
        <v>84</v>
      </c>
      <c r="Q9" s="523" t="s">
        <v>84</v>
      </c>
      <c r="R9" s="524" t="s">
        <v>84</v>
      </c>
      <c r="S9" s="525" t="s">
        <v>84</v>
      </c>
      <c r="T9" s="523" t="s">
        <v>84</v>
      </c>
      <c r="U9" s="524" t="s">
        <v>84</v>
      </c>
      <c r="V9" s="525" t="s">
        <v>84</v>
      </c>
      <c r="W9" s="523" t="s">
        <v>84</v>
      </c>
      <c r="X9" s="524" t="s">
        <v>84</v>
      </c>
      <c r="Y9" s="525" t="s">
        <v>84</v>
      </c>
      <c r="Z9" s="523" t="s">
        <v>84</v>
      </c>
      <c r="AA9" s="524" t="s">
        <v>84</v>
      </c>
      <c r="AB9" s="525" t="s">
        <v>84</v>
      </c>
      <c r="AC9" s="523" t="s">
        <v>84</v>
      </c>
      <c r="AD9" s="524" t="s">
        <v>84</v>
      </c>
      <c r="AE9" s="525" t="s">
        <v>84</v>
      </c>
      <c r="AF9" s="523" t="s">
        <v>84</v>
      </c>
      <c r="AG9" s="524" t="s">
        <v>84</v>
      </c>
      <c r="AH9" s="525" t="s">
        <v>84</v>
      </c>
      <c r="AI9" s="523" t="s">
        <v>84</v>
      </c>
      <c r="AJ9" s="524" t="s">
        <v>84</v>
      </c>
      <c r="AK9" s="525" t="s">
        <v>84</v>
      </c>
      <c r="AL9" s="523" t="s">
        <v>84</v>
      </c>
      <c r="AM9" s="524" t="s">
        <v>84</v>
      </c>
      <c r="AN9" s="525" t="s">
        <v>84</v>
      </c>
      <c r="AO9" s="523" t="s">
        <v>84</v>
      </c>
      <c r="AP9" s="524" t="s">
        <v>84</v>
      </c>
      <c r="AQ9" s="525" t="s">
        <v>84</v>
      </c>
      <c r="AR9" s="523" t="s">
        <v>84</v>
      </c>
      <c r="AS9" s="524" t="s">
        <v>84</v>
      </c>
      <c r="AT9" s="525" t="s">
        <v>84</v>
      </c>
      <c r="AU9" s="523" t="s">
        <v>84</v>
      </c>
      <c r="AV9" s="524" t="s">
        <v>84</v>
      </c>
      <c r="AW9" s="525" t="s">
        <v>84</v>
      </c>
      <c r="AX9" s="523" t="s">
        <v>84</v>
      </c>
      <c r="AY9" s="524" t="s">
        <v>84</v>
      </c>
      <c r="AZ9" s="525" t="s">
        <v>84</v>
      </c>
      <c r="BA9" s="523" t="s">
        <v>84</v>
      </c>
      <c r="BB9" s="524" t="s">
        <v>84</v>
      </c>
      <c r="BC9" s="525" t="s">
        <v>84</v>
      </c>
      <c r="BD9" s="523" t="s">
        <v>84</v>
      </c>
      <c r="BE9" s="524" t="s">
        <v>84</v>
      </c>
      <c r="BF9" s="525" t="s">
        <v>84</v>
      </c>
      <c r="BG9" s="523" t="s">
        <v>84</v>
      </c>
      <c r="BH9" s="524" t="s">
        <v>84</v>
      </c>
      <c r="BI9" s="525" t="s">
        <v>84</v>
      </c>
      <c r="BJ9" s="523" t="s">
        <v>84</v>
      </c>
      <c r="BK9" s="524" t="s">
        <v>84</v>
      </c>
      <c r="BL9" s="525" t="s">
        <v>84</v>
      </c>
      <c r="BM9" s="523" t="s">
        <v>84</v>
      </c>
      <c r="BN9" s="524" t="s">
        <v>84</v>
      </c>
      <c r="BO9" s="525" t="s">
        <v>84</v>
      </c>
      <c r="BP9" s="523" t="s">
        <v>84</v>
      </c>
      <c r="BQ9" s="524" t="s">
        <v>84</v>
      </c>
      <c r="BR9" s="525" t="s">
        <v>84</v>
      </c>
      <c r="BS9" s="523" t="s">
        <v>84</v>
      </c>
      <c r="BT9" s="524" t="s">
        <v>84</v>
      </c>
      <c r="BU9" s="525" t="s">
        <v>84</v>
      </c>
      <c r="BV9" s="523" t="s">
        <v>84</v>
      </c>
      <c r="BW9" s="524" t="s">
        <v>84</v>
      </c>
      <c r="BX9" s="525" t="s">
        <v>84</v>
      </c>
      <c r="BY9" s="523" t="s">
        <v>84</v>
      </c>
      <c r="BZ9" s="524" t="s">
        <v>84</v>
      </c>
      <c r="CA9" s="525" t="s">
        <v>84</v>
      </c>
    </row>
    <row r="10" spans="1:83" x14ac:dyDescent="0.2">
      <c r="A10" s="2242"/>
      <c r="B10" s="2243"/>
      <c r="C10" s="2247"/>
      <c r="D10" s="2249" t="s">
        <v>14</v>
      </c>
      <c r="E10" s="2250"/>
      <c r="F10" s="2255" t="s">
        <v>33</v>
      </c>
      <c r="G10" s="2256"/>
      <c r="H10" s="1026"/>
      <c r="I10" s="1027">
        <v>110</v>
      </c>
      <c r="J10" s="1028"/>
      <c r="K10" s="1026"/>
      <c r="L10" s="1027">
        <v>110</v>
      </c>
      <c r="M10" s="1028"/>
      <c r="N10" s="1026"/>
      <c r="O10" s="1027">
        <v>110</v>
      </c>
      <c r="P10" s="1028"/>
      <c r="Q10" s="1026"/>
      <c r="R10" s="1027">
        <v>110</v>
      </c>
      <c r="S10" s="1028"/>
      <c r="T10" s="1026"/>
      <c r="U10" s="1027">
        <v>110</v>
      </c>
      <c r="V10" s="1028"/>
      <c r="W10" s="1026"/>
      <c r="X10" s="1027">
        <v>110</v>
      </c>
      <c r="Y10" s="1028"/>
      <c r="Z10" s="1026"/>
      <c r="AA10" s="1027">
        <v>110</v>
      </c>
      <c r="AB10" s="1028"/>
      <c r="AC10" s="1026"/>
      <c r="AD10" s="1027">
        <v>110</v>
      </c>
      <c r="AE10" s="1028"/>
      <c r="AF10" s="1026"/>
      <c r="AG10" s="1027">
        <v>110</v>
      </c>
      <c r="AH10" s="1028"/>
      <c r="AI10" s="1026"/>
      <c r="AJ10" s="1027">
        <v>110</v>
      </c>
      <c r="AK10" s="1028"/>
      <c r="AL10" s="1026"/>
      <c r="AM10" s="1027">
        <v>110</v>
      </c>
      <c r="AN10" s="1028"/>
      <c r="AO10" s="1026"/>
      <c r="AP10" s="1027">
        <v>110</v>
      </c>
      <c r="AQ10" s="1028"/>
      <c r="AR10" s="1026"/>
      <c r="AS10" s="1027">
        <v>110</v>
      </c>
      <c r="AT10" s="1028"/>
      <c r="AU10" s="1026"/>
      <c r="AV10" s="1027">
        <v>110</v>
      </c>
      <c r="AW10" s="1028"/>
      <c r="AX10" s="1026"/>
      <c r="AY10" s="1027">
        <v>110</v>
      </c>
      <c r="AZ10" s="1028"/>
      <c r="BA10" s="1026"/>
      <c r="BB10" s="1027">
        <v>111</v>
      </c>
      <c r="BC10" s="1028"/>
      <c r="BD10" s="1026"/>
      <c r="BE10" s="1027">
        <v>110</v>
      </c>
      <c r="BF10" s="1028"/>
      <c r="BG10" s="1026"/>
      <c r="BH10" s="1027">
        <v>110</v>
      </c>
      <c r="BI10" s="1028"/>
      <c r="BJ10" s="1026"/>
      <c r="BK10" s="1027">
        <v>110</v>
      </c>
      <c r="BL10" s="1028"/>
      <c r="BM10" s="1026"/>
      <c r="BN10" s="1027">
        <v>110</v>
      </c>
      <c r="BO10" s="1028"/>
      <c r="BP10" s="1026"/>
      <c r="BQ10" s="1027">
        <v>110</v>
      </c>
      <c r="BR10" s="1028"/>
      <c r="BS10" s="1026"/>
      <c r="BT10" s="1027">
        <v>110</v>
      </c>
      <c r="BU10" s="1028"/>
      <c r="BV10" s="1026"/>
      <c r="BW10" s="1027">
        <v>110</v>
      </c>
      <c r="BX10" s="1028"/>
      <c r="BY10" s="1026"/>
      <c r="BZ10" s="1027">
        <v>110</v>
      </c>
      <c r="CA10" s="1028"/>
      <c r="CB10" s="986"/>
      <c r="CC10" s="986"/>
    </row>
    <row r="11" spans="1:83" x14ac:dyDescent="0.2">
      <c r="A11" s="2242"/>
      <c r="B11" s="2243"/>
      <c r="C11" s="2247"/>
      <c r="D11" s="2251"/>
      <c r="E11" s="2252"/>
      <c r="F11" s="2257" t="s">
        <v>34</v>
      </c>
      <c r="G11" s="2258"/>
      <c r="H11" s="1029"/>
      <c r="I11" s="1030">
        <v>10.199999999999999</v>
      </c>
      <c r="J11" s="1031"/>
      <c r="K11" s="1029"/>
      <c r="L11" s="1030">
        <v>10.199999999999999</v>
      </c>
      <c r="M11" s="1031"/>
      <c r="N11" s="1029"/>
      <c r="O11" s="1030">
        <v>10.199999999999999</v>
      </c>
      <c r="P11" s="1031"/>
      <c r="Q11" s="1029"/>
      <c r="R11" s="1030">
        <v>10.199999999999999</v>
      </c>
      <c r="S11" s="1031"/>
      <c r="T11" s="1029"/>
      <c r="U11" s="1030">
        <v>10.199999999999999</v>
      </c>
      <c r="V11" s="1031"/>
      <c r="W11" s="1029"/>
      <c r="X11" s="1030">
        <v>10.199999999999999</v>
      </c>
      <c r="Y11" s="1031"/>
      <c r="Z11" s="1029"/>
      <c r="AA11" s="1030">
        <v>10.199999999999999</v>
      </c>
      <c r="AB11" s="1031"/>
      <c r="AC11" s="1029"/>
      <c r="AD11" s="1030">
        <v>10.199999999999999</v>
      </c>
      <c r="AE11" s="1031"/>
      <c r="AF11" s="1029"/>
      <c r="AG11" s="1030">
        <v>10.199999999999999</v>
      </c>
      <c r="AH11" s="1031"/>
      <c r="AI11" s="1029"/>
      <c r="AJ11" s="1030">
        <v>10.199999999999999</v>
      </c>
      <c r="AK11" s="1031"/>
      <c r="AL11" s="1029"/>
      <c r="AM11" s="1030">
        <v>10.199999999999999</v>
      </c>
      <c r="AN11" s="1031"/>
      <c r="AO11" s="1029"/>
      <c r="AP11" s="1030">
        <v>10.199999999999999</v>
      </c>
      <c r="AQ11" s="1031"/>
      <c r="AR11" s="1029"/>
      <c r="AS11" s="1030">
        <v>10.199999999999999</v>
      </c>
      <c r="AT11" s="1031"/>
      <c r="AU11" s="1029"/>
      <c r="AV11" s="1030">
        <v>10.199999999999999</v>
      </c>
      <c r="AW11" s="1031"/>
      <c r="AX11" s="1029"/>
      <c r="AY11" s="1030">
        <v>10.199999999999999</v>
      </c>
      <c r="AZ11" s="1031"/>
      <c r="BA11" s="1029"/>
      <c r="BB11" s="1030">
        <v>10.199999999999999</v>
      </c>
      <c r="BC11" s="1031"/>
      <c r="BD11" s="1029"/>
      <c r="BE11" s="1030">
        <v>10.199999999999999</v>
      </c>
      <c r="BF11" s="1031"/>
      <c r="BG11" s="1029"/>
      <c r="BH11" s="1030">
        <v>10.199999999999999</v>
      </c>
      <c r="BI11" s="1031"/>
      <c r="BJ11" s="1029"/>
      <c r="BK11" s="1030">
        <v>10.199999999999999</v>
      </c>
      <c r="BL11" s="1031"/>
      <c r="BM11" s="1029"/>
      <c r="BN11" s="1030">
        <v>10.199999999999999</v>
      </c>
      <c r="BO11" s="1031"/>
      <c r="BP11" s="1029"/>
      <c r="BQ11" s="1030">
        <v>10.199999999999999</v>
      </c>
      <c r="BR11" s="1031"/>
      <c r="BS11" s="1029"/>
      <c r="BT11" s="1030">
        <v>10.199999999999999</v>
      </c>
      <c r="BU11" s="1031"/>
      <c r="BV11" s="1029"/>
      <c r="BW11" s="1030">
        <v>10.199999999999999</v>
      </c>
      <c r="BX11" s="1031"/>
      <c r="BY11" s="1029"/>
      <c r="BZ11" s="1030">
        <v>10.199999999999999</v>
      </c>
      <c r="CA11" s="1031"/>
      <c r="CB11" s="986"/>
      <c r="CC11" s="986"/>
    </row>
    <row r="12" spans="1:83" ht="13.5" thickBot="1" x14ac:dyDescent="0.25">
      <c r="A12" s="2242"/>
      <c r="B12" s="2243"/>
      <c r="C12" s="2247"/>
      <c r="D12" s="2253"/>
      <c r="E12" s="2254"/>
      <c r="F12" s="2259"/>
      <c r="G12" s="2260"/>
      <c r="H12" s="811"/>
      <c r="I12" s="1032"/>
      <c r="J12" s="984"/>
      <c r="K12" s="811"/>
      <c r="L12" s="1032"/>
      <c r="M12" s="984"/>
      <c r="N12" s="811"/>
      <c r="O12" s="1032"/>
      <c r="P12" s="984"/>
      <c r="Q12" s="811"/>
      <c r="R12" s="1032"/>
      <c r="S12" s="984"/>
      <c r="T12" s="811"/>
      <c r="U12" s="1032"/>
      <c r="V12" s="984"/>
      <c r="W12" s="811"/>
      <c r="X12" s="1032"/>
      <c r="Y12" s="984"/>
      <c r="Z12" s="811"/>
      <c r="AA12" s="1032"/>
      <c r="AB12" s="984"/>
      <c r="AC12" s="811"/>
      <c r="AD12" s="1032"/>
      <c r="AE12" s="984"/>
      <c r="AF12" s="811"/>
      <c r="AG12" s="1032"/>
      <c r="AH12" s="984"/>
      <c r="AI12" s="811"/>
      <c r="AJ12" s="1032"/>
      <c r="AK12" s="984"/>
      <c r="AL12" s="811"/>
      <c r="AM12" s="1032"/>
      <c r="AN12" s="984"/>
      <c r="AO12" s="811"/>
      <c r="AP12" s="1032"/>
      <c r="AQ12" s="984"/>
      <c r="AR12" s="811"/>
      <c r="AS12" s="1032"/>
      <c r="AT12" s="984"/>
      <c r="AU12" s="811"/>
      <c r="AV12" s="1032"/>
      <c r="AW12" s="984"/>
      <c r="AX12" s="811"/>
      <c r="AY12" s="1032"/>
      <c r="AZ12" s="984"/>
      <c r="BA12" s="811"/>
      <c r="BB12" s="1032"/>
      <c r="BC12" s="984"/>
      <c r="BD12" s="811"/>
      <c r="BE12" s="1032"/>
      <c r="BF12" s="984"/>
      <c r="BG12" s="811"/>
      <c r="BH12" s="1032"/>
      <c r="BI12" s="984"/>
      <c r="BJ12" s="811"/>
      <c r="BK12" s="1032"/>
      <c r="BL12" s="984"/>
      <c r="BM12" s="811"/>
      <c r="BN12" s="1032"/>
      <c r="BO12" s="984"/>
      <c r="BP12" s="811"/>
      <c r="BQ12" s="1032"/>
      <c r="BR12" s="984"/>
      <c r="BS12" s="811"/>
      <c r="BT12" s="1032"/>
      <c r="BU12" s="984"/>
      <c r="BV12" s="811"/>
      <c r="BW12" s="1032"/>
      <c r="BX12" s="984"/>
      <c r="BY12" s="811"/>
      <c r="BZ12" s="1032"/>
      <c r="CA12" s="984"/>
      <c r="CB12" s="986"/>
      <c r="CC12" s="986"/>
    </row>
    <row r="13" spans="1:83" ht="13.5" thickBot="1" x14ac:dyDescent="0.25">
      <c r="A13" s="2244"/>
      <c r="B13" s="2245"/>
      <c r="C13" s="2248"/>
      <c r="D13" s="2261" t="s">
        <v>39</v>
      </c>
      <c r="E13" s="2262"/>
      <c r="F13" s="2262"/>
      <c r="G13" s="2263"/>
      <c r="H13" s="1033"/>
      <c r="I13" s="1034">
        <v>8</v>
      </c>
      <c r="J13" s="1035"/>
      <c r="K13" s="1033"/>
      <c r="L13" s="1034">
        <v>8</v>
      </c>
      <c r="M13" s="1035"/>
      <c r="N13" s="1033"/>
      <c r="O13" s="1034">
        <v>8</v>
      </c>
      <c r="P13" s="1035"/>
      <c r="Q13" s="1033"/>
      <c r="R13" s="1034">
        <v>8</v>
      </c>
      <c r="S13" s="1035"/>
      <c r="T13" s="1033"/>
      <c r="U13" s="1034">
        <v>8</v>
      </c>
      <c r="V13" s="1035"/>
      <c r="W13" s="1033"/>
      <c r="X13" s="1034">
        <v>8</v>
      </c>
      <c r="Y13" s="1035"/>
      <c r="Z13" s="1033"/>
      <c r="AA13" s="1034">
        <v>8</v>
      </c>
      <c r="AB13" s="1035"/>
      <c r="AC13" s="1033"/>
      <c r="AD13" s="1034">
        <v>8</v>
      </c>
      <c r="AE13" s="1035"/>
      <c r="AF13" s="1033"/>
      <c r="AG13" s="1034">
        <v>8</v>
      </c>
      <c r="AH13" s="1035"/>
      <c r="AI13" s="1033"/>
      <c r="AJ13" s="1034">
        <v>8</v>
      </c>
      <c r="AK13" s="1035"/>
      <c r="AL13" s="1033"/>
      <c r="AM13" s="1034">
        <v>8</v>
      </c>
      <c r="AN13" s="1035"/>
      <c r="AO13" s="1033"/>
      <c r="AP13" s="1034">
        <v>8</v>
      </c>
      <c r="AQ13" s="1035"/>
      <c r="AR13" s="1033"/>
      <c r="AS13" s="1034">
        <v>8</v>
      </c>
      <c r="AT13" s="1035"/>
      <c r="AU13" s="1033"/>
      <c r="AV13" s="1034">
        <v>8</v>
      </c>
      <c r="AW13" s="1035"/>
      <c r="AX13" s="1033"/>
      <c r="AY13" s="1034">
        <v>8</v>
      </c>
      <c r="AZ13" s="1035"/>
      <c r="BA13" s="1033"/>
      <c r="BB13" s="1034">
        <v>8</v>
      </c>
      <c r="BC13" s="1035"/>
      <c r="BD13" s="1033"/>
      <c r="BE13" s="1034">
        <v>8</v>
      </c>
      <c r="BF13" s="1035"/>
      <c r="BG13" s="1033"/>
      <c r="BH13" s="1034">
        <v>8</v>
      </c>
      <c r="BI13" s="1035"/>
      <c r="BJ13" s="1033"/>
      <c r="BK13" s="1034">
        <v>8</v>
      </c>
      <c r="BL13" s="1035"/>
      <c r="BM13" s="1033"/>
      <c r="BN13" s="1034">
        <v>8</v>
      </c>
      <c r="BO13" s="1035"/>
      <c r="BP13" s="1033"/>
      <c r="BQ13" s="1034">
        <v>8</v>
      </c>
      <c r="BR13" s="1035"/>
      <c r="BS13" s="1033"/>
      <c r="BT13" s="1034">
        <v>8</v>
      </c>
      <c r="BU13" s="1035"/>
      <c r="BV13" s="1033"/>
      <c r="BW13" s="1034">
        <v>8</v>
      </c>
      <c r="BX13" s="1035"/>
      <c r="BY13" s="1033"/>
      <c r="BZ13" s="1034">
        <v>8</v>
      </c>
      <c r="CA13" s="1035"/>
      <c r="CB13" s="1036"/>
      <c r="CC13" s="986"/>
    </row>
    <row r="14" spans="1:83" x14ac:dyDescent="0.2">
      <c r="A14" s="2249" t="s">
        <v>1</v>
      </c>
      <c r="B14" s="2250"/>
      <c r="C14" s="2246">
        <v>25</v>
      </c>
      <c r="D14" s="2249" t="s">
        <v>13</v>
      </c>
      <c r="E14" s="2250"/>
      <c r="F14" s="2255" t="s">
        <v>33</v>
      </c>
      <c r="G14" s="2256"/>
      <c r="H14" s="1025">
        <f>SQRT(I14^2+J14^2)*1000/(1.73*I17)</f>
        <v>19.671567371268313</v>
      </c>
      <c r="I14" s="532">
        <v>3.5244</v>
      </c>
      <c r="J14" s="532">
        <v>1.0427999999999999</v>
      </c>
      <c r="K14" s="1025">
        <f>SQRT(L14^2+M14^2)*1000/(1.73*L17)</f>
        <v>18.9276511876317</v>
      </c>
      <c r="L14" s="532">
        <v>3.3792</v>
      </c>
      <c r="M14" s="532">
        <v>1.0427999999999999</v>
      </c>
      <c r="N14" s="1025">
        <f>SQRT(O14^2+P14^2)*1000/(1.73*O17)</f>
        <v>18.455675511615997</v>
      </c>
      <c r="O14" s="532">
        <v>3.2868000000000004</v>
      </c>
      <c r="P14" s="532">
        <v>1.0427999999999999</v>
      </c>
      <c r="Q14" s="1025">
        <f>SQRT(R14^2+S14^2)*1000/(1.73*R17)</f>
        <v>18.299645567498345</v>
      </c>
      <c r="R14" s="532">
        <v>3.2603999999999997</v>
      </c>
      <c r="S14" s="532">
        <v>1.0295999999999998</v>
      </c>
      <c r="T14" s="1025">
        <f>SQRT(U14^2+V14^2)*1000/(1.73*U17)</f>
        <v>18.299645567498345</v>
      </c>
      <c r="U14" s="532">
        <v>3.2603999999999997</v>
      </c>
      <c r="V14" s="532">
        <v>1.0295999999999998</v>
      </c>
      <c r="W14" s="1025">
        <f>SQRT(X14^2+Y14^2)*1000/(1.73*X17)</f>
        <v>18.704297294468862</v>
      </c>
      <c r="X14" s="532">
        <v>3.3395999999999999</v>
      </c>
      <c r="Y14" s="532">
        <v>1.0295999999999998</v>
      </c>
      <c r="Z14" s="1025">
        <f>SQRT(AA14^2+AB14^2)*1000/(1.73*AA17)</f>
        <v>20.466790662245437</v>
      </c>
      <c r="AA14" s="532">
        <v>3.6828000000000003</v>
      </c>
      <c r="AB14" s="532">
        <v>1.0295999999999998</v>
      </c>
      <c r="AC14" s="1025">
        <f>SQRT(AD14^2+AE14^2)*1000/(1.73*AD17)</f>
        <v>22.276752123275937</v>
      </c>
      <c r="AD14" s="532">
        <v>4.0259999999999998</v>
      </c>
      <c r="AE14" s="532">
        <v>1.056</v>
      </c>
      <c r="AF14" s="1025">
        <f>SQRT(AG14^2+AH14^2)*1000/(1.73*AG17)</f>
        <v>23.201182510276613</v>
      </c>
      <c r="AG14" s="532">
        <v>4.1976000000000004</v>
      </c>
      <c r="AH14" s="532">
        <v>1.0824</v>
      </c>
      <c r="AI14" s="1025">
        <f>SQRT(AJ14^2+AK14^2)*1000/(1.73*AJ17)</f>
        <v>23.594650689950775</v>
      </c>
      <c r="AJ14" s="532">
        <v>4.2768000000000006</v>
      </c>
      <c r="AK14" s="532">
        <v>1.0692000000000002</v>
      </c>
      <c r="AL14" s="1025">
        <f>SQRT(AM14^2+AN14^2)*1000/(1.73*AM17)</f>
        <v>23.903175760368882</v>
      </c>
      <c r="AM14" s="532">
        <v>4.3296000000000001</v>
      </c>
      <c r="AN14" s="532">
        <v>1.0955999999999999</v>
      </c>
      <c r="AO14" s="1025">
        <f>SQRT(AP14^2+AQ14^2)*1000/(1.73*AP17)</f>
        <v>24.399993367558071</v>
      </c>
      <c r="AP14" s="532">
        <v>4.4219999999999997</v>
      </c>
      <c r="AQ14" s="532">
        <v>1.1088</v>
      </c>
      <c r="AR14" s="1025">
        <f>SQRT(AS14^2+AT14^2)*1000/(1.73*AS17)</f>
        <v>24.023045697787978</v>
      </c>
      <c r="AS14" s="532">
        <v>4.3559999999999999</v>
      </c>
      <c r="AT14" s="532">
        <v>1.0824</v>
      </c>
      <c r="AU14" s="1025">
        <f>SQRT(AV14^2+AW14^2)*1000/(1.73*AV17)</f>
        <v>23.594650689950775</v>
      </c>
      <c r="AV14" s="532">
        <v>4.2768000000000006</v>
      </c>
      <c r="AW14" s="532">
        <v>1.0692000000000002</v>
      </c>
      <c r="AX14" s="1025">
        <f>SQRT(AY14^2+AZ14^2)*1000/(1.73*AY17)</f>
        <v>23.406474962527401</v>
      </c>
      <c r="AY14" s="532">
        <v>4.2371999999999996</v>
      </c>
      <c r="AZ14" s="532">
        <v>1.0824</v>
      </c>
      <c r="BA14" s="1025">
        <f>SQRT(BB14^2+BC14^2)*1000/(1.73*BB17)</f>
        <v>23.577615488223785</v>
      </c>
      <c r="BB14" s="532">
        <v>4.2768000000000006</v>
      </c>
      <c r="BC14" s="532">
        <v>1.056</v>
      </c>
      <c r="BD14" s="1025">
        <f>SQRT(BE14^2+BF14^2)*1000/(1.73*BE17)</f>
        <v>24.12670638647722</v>
      </c>
      <c r="BE14" s="532">
        <v>4.3823999999999996</v>
      </c>
      <c r="BF14" s="532">
        <v>1.056</v>
      </c>
      <c r="BG14" s="1025">
        <f>SQRT(BH14^2+BI14^2)*1000/(1.73*BH17)</f>
        <v>24.624081460800436</v>
      </c>
      <c r="BH14" s="532">
        <v>4.4748000000000001</v>
      </c>
      <c r="BI14" s="532">
        <v>1.0692000000000002</v>
      </c>
      <c r="BJ14" s="1025">
        <f>SQRT(BK14^2+BL14^2)*1000/(1.73*BK17)</f>
        <v>24.882883510240898</v>
      </c>
      <c r="BK14" s="532">
        <v>4.5276000000000005</v>
      </c>
      <c r="BL14" s="532">
        <v>1.056</v>
      </c>
      <c r="BM14" s="1025">
        <f>SQRT(BN14^2+BO14^2)*1000/(1.73*BN17)</f>
        <v>25.174139379283485</v>
      </c>
      <c r="BN14" s="532">
        <v>4.5804</v>
      </c>
      <c r="BO14" s="532">
        <v>1.0692000000000002</v>
      </c>
      <c r="BP14" s="1025">
        <f>SQRT(BQ14^2+BR14^2)*1000/(1.73*BQ17)</f>
        <v>24.555372542558892</v>
      </c>
      <c r="BQ14" s="532">
        <v>4.4616000000000007</v>
      </c>
      <c r="BR14" s="532">
        <v>1.0692000000000002</v>
      </c>
      <c r="BS14" s="1025">
        <f>SQRT(BT14^2+BU14^2)*1000/(1.73*BT17)</f>
        <v>23.868906256294814</v>
      </c>
      <c r="BT14" s="532">
        <v>4.3296000000000001</v>
      </c>
      <c r="BU14" s="532">
        <v>1.0692000000000002</v>
      </c>
      <c r="BV14" s="1025">
        <f>SQRT(BW14^2+BX14^2)*1000/(1.73*BW17)</f>
        <v>22.636371757650387</v>
      </c>
      <c r="BW14" s="532">
        <v>4.0919999999999996</v>
      </c>
      <c r="BX14" s="532">
        <v>1.0692000000000002</v>
      </c>
      <c r="BY14" s="1025">
        <f>SQRT(BZ14^2+CA14^2)*1000/(1.73*BZ17)</f>
        <v>21.049158401954557</v>
      </c>
      <c r="BZ14" s="532">
        <v>3.7884000000000002</v>
      </c>
      <c r="CA14" s="532">
        <v>1.056</v>
      </c>
      <c r="CB14" s="618">
        <f>SUM(BZ14,BW14,BT14,BQ14,BN14,BK14,BH14,BE14,BB14,AY14,AV14,AS14,AP14,AM14,AJ14,AG14,AD14,AA14,X14,U14,R14,O14,L14,I14)</f>
        <v>96.769199999999998</v>
      </c>
      <c r="CC14" s="618">
        <f>SUM(CA14,BX14,BU14,BR14,BO14,BL14,BI14,BF14,BC14,AZ14,AW14,AT14,AQ14,AN14,AK14,AH14,AE14,AB14,Y14,V14,S14,P14,M14,J14)</f>
        <v>25.462799999999998</v>
      </c>
    </row>
    <row r="15" spans="1:83" x14ac:dyDescent="0.2">
      <c r="A15" s="2251"/>
      <c r="B15" s="2252"/>
      <c r="C15" s="2247"/>
      <c r="D15" s="2251"/>
      <c r="E15" s="2252"/>
      <c r="F15" s="2257" t="s">
        <v>34</v>
      </c>
      <c r="G15" s="2258"/>
      <c r="H15" s="518">
        <f>SQRT(I15^2+J15^2)*1000/(1.73*I18)</f>
        <v>207.43946596388139</v>
      </c>
      <c r="I15" s="815">
        <f>(I23+I40)</f>
        <v>3.535056</v>
      </c>
      <c r="J15" s="815">
        <f>(J23+J40)</f>
        <v>0.94998399999999994</v>
      </c>
      <c r="K15" s="518">
        <f>SQRT(L15^2+M15^2)*1000/(1.73*L18)</f>
        <v>198.68331488362705</v>
      </c>
      <c r="L15" s="815">
        <f>(L23+L40)</f>
        <v>3.3747040000000004</v>
      </c>
      <c r="M15" s="815">
        <f>(M23+M40)</f>
        <v>0.95035199999999997</v>
      </c>
      <c r="N15" s="518">
        <f>SQRT(O15^2+P15^2)*1000/(1.73*O18)</f>
        <v>193.59715554752108</v>
      </c>
      <c r="O15" s="815">
        <f>(O23+O40)</f>
        <v>3.2825120000000001</v>
      </c>
      <c r="P15" s="815">
        <f>(P23+P40)</f>
        <v>0.94638399999999989</v>
      </c>
      <c r="Q15" s="518">
        <f>SQRT(R15^2+S15^2)*1000/(1.73*R18)</f>
        <v>192.315478580442</v>
      </c>
      <c r="R15" s="815">
        <f>(R23+R40)</f>
        <v>3.2609440000000003</v>
      </c>
      <c r="S15" s="815">
        <f>(S23+S40)</f>
        <v>0.93955200000000005</v>
      </c>
      <c r="T15" s="518">
        <f>SQRT(U15^2+V15^2)*1000/(1.73*U18)</f>
        <v>192.51017158183657</v>
      </c>
      <c r="U15" s="815">
        <f>(U23+U40)</f>
        <v>3.2637120000000004</v>
      </c>
      <c r="V15" s="815">
        <f>(V23+V40)</f>
        <v>0.94235200000000019</v>
      </c>
      <c r="W15" s="518">
        <f>SQRT(X15^2+Y15^2)*1000/(1.73*X18)</f>
        <v>196.31688697181633</v>
      </c>
      <c r="X15" s="815">
        <f>(X23+X40)</f>
        <v>3.3360480000000003</v>
      </c>
      <c r="Y15" s="815">
        <f>(Y23+Y40)</f>
        <v>0.93355200000000005</v>
      </c>
      <c r="Z15" s="518">
        <f>SQRT(AA15^2+AB15^2)*1000/(1.73*AA18)</f>
        <v>215.65766721243659</v>
      </c>
      <c r="AA15" s="815">
        <f>(AA23+AA40)</f>
        <v>3.6890079999999998</v>
      </c>
      <c r="AB15" s="815">
        <f>(AB23+AB40)</f>
        <v>0.93435200000000007</v>
      </c>
      <c r="AC15" s="518">
        <f>SQRT(AD15^2+AE15^2)*1000/(1.73*AD18)</f>
        <v>234.67816657743978</v>
      </c>
      <c r="AD15" s="815">
        <f>(AD23+AD40)</f>
        <v>4.0356320000000006</v>
      </c>
      <c r="AE15" s="815">
        <f>(AE23+AE40)</f>
        <v>0.92878399999999994</v>
      </c>
      <c r="AF15" s="518">
        <f>SQRT(AG15^2+AH15^2)*1000/(1.73*AG18)</f>
        <v>244.32144030664674</v>
      </c>
      <c r="AG15" s="815">
        <f>(AG23+AG40)</f>
        <v>4.2049760000000003</v>
      </c>
      <c r="AH15" s="815">
        <f>(AH23+AH40)</f>
        <v>0.95155200000000006</v>
      </c>
      <c r="AI15" s="518">
        <f>SQRT(AJ15^2+AK15^2)*1000/(1.73*AJ18)</f>
        <v>248.83122986168172</v>
      </c>
      <c r="AJ15" s="815">
        <f>(AJ23+AJ40)</f>
        <v>4.2819360000000009</v>
      </c>
      <c r="AK15" s="815">
        <f>(AK23+AK40)</f>
        <v>0.9720160000000001</v>
      </c>
      <c r="AL15" s="518">
        <f>SQRT(AM15^2+AN15^2)*1000/(1.73*AM18)</f>
        <v>252.60068472327782</v>
      </c>
      <c r="AM15" s="815">
        <f>(AM23+AM40)</f>
        <v>4.3460640000000001</v>
      </c>
      <c r="AN15" s="815">
        <f>(AN23+AN40)</f>
        <v>0.98998399999999986</v>
      </c>
      <c r="AO15" s="518">
        <f>SQRT(AP15^2+AQ15^2)*1000/(1.73*AP18)</f>
        <v>257.50508402390983</v>
      </c>
      <c r="AP15" s="815">
        <f>(AP23+AP40)</f>
        <v>4.4356640000000001</v>
      </c>
      <c r="AQ15" s="815">
        <f>(AQ23+AQ40)</f>
        <v>0.986016</v>
      </c>
      <c r="AR15" s="518">
        <f>SQRT(AS15^2+AT15^2)*1000/(1.73*AS18)</f>
        <v>253.38365214561088</v>
      </c>
      <c r="AS15" s="815">
        <f>(AS23+AS40)</f>
        <v>4.3674559999999998</v>
      </c>
      <c r="AT15" s="815">
        <f>(AT23+AT40)</f>
        <v>0.95761600000000002</v>
      </c>
      <c r="AU15" s="518">
        <f>SQRT(AV15^2+AW15^2)*1000/(1.73*AV18)</f>
        <v>248.63206936204776</v>
      </c>
      <c r="AV15" s="815">
        <f>(AV23+AV40)</f>
        <v>4.2825600000000001</v>
      </c>
      <c r="AW15" s="815">
        <f>(AW23+AW40)</f>
        <v>0.95321600000000006</v>
      </c>
      <c r="AX15" s="518">
        <f>SQRT(AY15^2+AZ15^2)*1000/(1.73*AY18)</f>
        <v>246.42248632848461</v>
      </c>
      <c r="AY15" s="815">
        <f>(AY23+AY40)</f>
        <v>4.2436000000000007</v>
      </c>
      <c r="AZ15" s="815">
        <f>(AZ23+AZ40)</f>
        <v>0.94878400000000007</v>
      </c>
      <c r="BA15" s="518">
        <f>SQRT(BB15^2+BC15^2)*1000/(1.73*BB18)</f>
        <v>249.04015789077562</v>
      </c>
      <c r="BB15" s="815">
        <f>(BB23+BB40)</f>
        <v>4.2939039999999995</v>
      </c>
      <c r="BC15" s="815">
        <f>(BC23+BC40)</f>
        <v>0.9351839999999999</v>
      </c>
      <c r="BD15" s="518">
        <f>SQRT(BE15^2+BF15^2)*1000/(1.73*BE18)</f>
        <v>254.56507586660251</v>
      </c>
      <c r="BE15" s="815">
        <f>(BE23+BE40)</f>
        <v>4.3968319999999999</v>
      </c>
      <c r="BF15" s="815">
        <f>(BF23+BF40)</f>
        <v>0.92001600000000006</v>
      </c>
      <c r="BG15" s="518">
        <f>SQRT(BH15^2+BI15^2)*1000/(1.73*BH18)</f>
        <v>260.14935020359695</v>
      </c>
      <c r="BH15" s="815">
        <f>(BH23+BH40)</f>
        <v>4.493328</v>
      </c>
      <c r="BI15" s="815">
        <f>(BI23+BI40)</f>
        <v>0.93998400000000004</v>
      </c>
      <c r="BJ15" s="518">
        <f>SQRT(BK15^2+BL15^2)*1000/(1.73*BK18)</f>
        <v>262.71596996709775</v>
      </c>
      <c r="BK15" s="815">
        <f>(BK23+BK40)</f>
        <v>4.5450559999999998</v>
      </c>
      <c r="BL15" s="815">
        <f>(BL23+BL40)</f>
        <v>0.91318399999999988</v>
      </c>
      <c r="BM15" s="518">
        <f>SQRT(BN15^2+BO15^2)*1000/(1.73*BN18)</f>
        <v>265.19419522023037</v>
      </c>
      <c r="BN15" s="815">
        <f>(BN23+BN40)</f>
        <v>4.5884479999999996</v>
      </c>
      <c r="BO15" s="815">
        <f>(BO23+BO40)</f>
        <v>0.91921600000000003</v>
      </c>
      <c r="BP15" s="518">
        <f>SQRT(BQ15^2+BR15^2)*1000/(1.73*BQ18)</f>
        <v>259.16140101234669</v>
      </c>
      <c r="BQ15" s="815">
        <f>(BQ23+BQ40)</f>
        <v>4.4800800000000001</v>
      </c>
      <c r="BR15" s="815">
        <f>(BR23+BR40)</f>
        <v>0.91798399999999991</v>
      </c>
      <c r="BS15" s="518">
        <f>SQRT(BT15^2+BU15^2)*1000/(1.73*BT18)</f>
        <v>251.69505568755977</v>
      </c>
      <c r="BT15" s="815">
        <f>(BT23+BT40)</f>
        <v>4.3421760000000003</v>
      </c>
      <c r="BU15" s="815">
        <f>(BU23+BU40)</f>
        <v>0.93361599999999989</v>
      </c>
      <c r="BV15" s="518">
        <f>SQRT(BW15^2+BX15^2)*1000/(1.73*BW18)</f>
        <v>238.72747862295489</v>
      </c>
      <c r="BW15" s="815">
        <f>(BW23+BW40)</f>
        <v>4.1017440000000001</v>
      </c>
      <c r="BX15" s="815">
        <f>(BX23+BX40)</f>
        <v>0.95998400000000006</v>
      </c>
      <c r="BY15" s="518">
        <f>SQRT(BZ15^2+CA15^2)*1000/(1.73*BZ18)</f>
        <v>221.29497094700778</v>
      </c>
      <c r="BZ15" s="815">
        <f>(BZ23+BZ40)</f>
        <v>3.7882560000000001</v>
      </c>
      <c r="CA15" s="815">
        <f>(CA23+CA40)</f>
        <v>0.94758399999999987</v>
      </c>
      <c r="CB15" s="618">
        <f>SUM(BZ15,BW15,BT15,BQ15,BN15,BK15,BH15,BE15,BB15,AY15,AV15,AS15,AP15,AM15,AJ15,AG15,AD15,AA15,X15,U15,R15,O15,L15,I15)</f>
        <v>96.969695999999985</v>
      </c>
      <c r="CC15" s="618">
        <f>SUM(CA15,BX15,BU15,BR15,BO15,BL15,BI15,BF15,BC15,AZ15,AW15,AT15,AQ15,AN15,AK15,AH15,AE15,AB15,Y15,V15,S15,P15,M15,J15)</f>
        <v>22.671247999999991</v>
      </c>
      <c r="CE15" s="529"/>
    </row>
    <row r="16" spans="1:83" ht="13.5" thickBot="1" x14ac:dyDescent="0.25">
      <c r="A16" s="2251"/>
      <c r="B16" s="2252"/>
      <c r="C16" s="2247"/>
      <c r="D16" s="2253"/>
      <c r="E16" s="2254"/>
      <c r="F16" s="2259"/>
      <c r="G16" s="2260"/>
      <c r="H16" s="523" t="s">
        <v>84</v>
      </c>
      <c r="I16" s="524" t="s">
        <v>84</v>
      </c>
      <c r="J16" s="525" t="s">
        <v>84</v>
      </c>
      <c r="K16" s="523" t="s">
        <v>84</v>
      </c>
      <c r="L16" s="524" t="s">
        <v>84</v>
      </c>
      <c r="M16" s="525" t="s">
        <v>84</v>
      </c>
      <c r="N16" s="523" t="s">
        <v>84</v>
      </c>
      <c r="O16" s="524" t="s">
        <v>84</v>
      </c>
      <c r="P16" s="525" t="s">
        <v>84</v>
      </c>
      <c r="Q16" s="523" t="s">
        <v>84</v>
      </c>
      <c r="R16" s="524" t="s">
        <v>84</v>
      </c>
      <c r="S16" s="525" t="s">
        <v>84</v>
      </c>
      <c r="T16" s="523" t="s">
        <v>84</v>
      </c>
      <c r="U16" s="524" t="s">
        <v>84</v>
      </c>
      <c r="V16" s="525" t="s">
        <v>84</v>
      </c>
      <c r="W16" s="523" t="s">
        <v>84</v>
      </c>
      <c r="X16" s="524" t="s">
        <v>84</v>
      </c>
      <c r="Y16" s="525" t="s">
        <v>84</v>
      </c>
      <c r="Z16" s="523" t="s">
        <v>84</v>
      </c>
      <c r="AA16" s="524" t="s">
        <v>84</v>
      </c>
      <c r="AB16" s="525" t="s">
        <v>84</v>
      </c>
      <c r="AC16" s="523" t="s">
        <v>84</v>
      </c>
      <c r="AD16" s="524" t="s">
        <v>84</v>
      </c>
      <c r="AE16" s="525" t="s">
        <v>84</v>
      </c>
      <c r="AF16" s="523" t="s">
        <v>84</v>
      </c>
      <c r="AG16" s="524" t="s">
        <v>84</v>
      </c>
      <c r="AH16" s="525" t="s">
        <v>84</v>
      </c>
      <c r="AI16" s="523" t="s">
        <v>84</v>
      </c>
      <c r="AJ16" s="524" t="s">
        <v>84</v>
      </c>
      <c r="AK16" s="525" t="s">
        <v>84</v>
      </c>
      <c r="AL16" s="523" t="s">
        <v>84</v>
      </c>
      <c r="AM16" s="524" t="s">
        <v>84</v>
      </c>
      <c r="AN16" s="525" t="s">
        <v>84</v>
      </c>
      <c r="AO16" s="523" t="s">
        <v>84</v>
      </c>
      <c r="AP16" s="524" t="s">
        <v>84</v>
      </c>
      <c r="AQ16" s="525" t="s">
        <v>84</v>
      </c>
      <c r="AR16" s="523" t="s">
        <v>84</v>
      </c>
      <c r="AS16" s="524" t="s">
        <v>84</v>
      </c>
      <c r="AT16" s="525" t="s">
        <v>84</v>
      </c>
      <c r="AU16" s="523" t="s">
        <v>84</v>
      </c>
      <c r="AV16" s="524" t="s">
        <v>84</v>
      </c>
      <c r="AW16" s="525" t="s">
        <v>84</v>
      </c>
      <c r="AX16" s="523" t="s">
        <v>84</v>
      </c>
      <c r="AY16" s="524" t="s">
        <v>84</v>
      </c>
      <c r="AZ16" s="525" t="s">
        <v>84</v>
      </c>
      <c r="BA16" s="523" t="s">
        <v>84</v>
      </c>
      <c r="BB16" s="524" t="s">
        <v>84</v>
      </c>
      <c r="BC16" s="525" t="s">
        <v>84</v>
      </c>
      <c r="BD16" s="523" t="s">
        <v>84</v>
      </c>
      <c r="BE16" s="524" t="s">
        <v>84</v>
      </c>
      <c r="BF16" s="525" t="s">
        <v>84</v>
      </c>
      <c r="BG16" s="523" t="s">
        <v>84</v>
      </c>
      <c r="BH16" s="524" t="s">
        <v>84</v>
      </c>
      <c r="BI16" s="525" t="s">
        <v>84</v>
      </c>
      <c r="BJ16" s="523" t="s">
        <v>84</v>
      </c>
      <c r="BK16" s="524" t="s">
        <v>84</v>
      </c>
      <c r="BL16" s="525" t="s">
        <v>84</v>
      </c>
      <c r="BM16" s="523" t="s">
        <v>84</v>
      </c>
      <c r="BN16" s="524" t="s">
        <v>84</v>
      </c>
      <c r="BO16" s="525" t="s">
        <v>84</v>
      </c>
      <c r="BP16" s="523" t="s">
        <v>84</v>
      </c>
      <c r="BQ16" s="524" t="s">
        <v>84</v>
      </c>
      <c r="BR16" s="525" t="s">
        <v>84</v>
      </c>
      <c r="BS16" s="523" t="s">
        <v>84</v>
      </c>
      <c r="BT16" s="524" t="s">
        <v>84</v>
      </c>
      <c r="BU16" s="525" t="s">
        <v>84</v>
      </c>
      <c r="BV16" s="523" t="s">
        <v>84</v>
      </c>
      <c r="BW16" s="524" t="s">
        <v>84</v>
      </c>
      <c r="BX16" s="525" t="s">
        <v>84</v>
      </c>
      <c r="BY16" s="523" t="s">
        <v>84</v>
      </c>
      <c r="BZ16" s="524" t="s">
        <v>84</v>
      </c>
      <c r="CA16" s="525" t="s">
        <v>84</v>
      </c>
      <c r="CB16" s="986"/>
      <c r="CC16" s="1037"/>
    </row>
    <row r="17" spans="1:85" x14ac:dyDescent="0.2">
      <c r="A17" s="2251"/>
      <c r="B17" s="2252"/>
      <c r="C17" s="2247"/>
      <c r="D17" s="2249" t="s">
        <v>14</v>
      </c>
      <c r="E17" s="2250"/>
      <c r="F17" s="2255" t="s">
        <v>33</v>
      </c>
      <c r="G17" s="2256"/>
      <c r="H17" s="1038"/>
      <c r="I17" s="1027">
        <v>108</v>
      </c>
      <c r="J17" s="1028"/>
      <c r="K17" s="1038"/>
      <c r="L17" s="1027">
        <v>108</v>
      </c>
      <c r="M17" s="1028"/>
      <c r="N17" s="1038"/>
      <c r="O17" s="1027">
        <v>108</v>
      </c>
      <c r="P17" s="1028"/>
      <c r="Q17" s="1038"/>
      <c r="R17" s="1027">
        <v>108</v>
      </c>
      <c r="S17" s="1028"/>
      <c r="T17" s="1038"/>
      <c r="U17" s="1027">
        <v>108</v>
      </c>
      <c r="V17" s="1028"/>
      <c r="W17" s="1038"/>
      <c r="X17" s="1027">
        <v>108</v>
      </c>
      <c r="Y17" s="1028"/>
      <c r="Z17" s="1038"/>
      <c r="AA17" s="1027">
        <v>108</v>
      </c>
      <c r="AB17" s="1028"/>
      <c r="AC17" s="1038"/>
      <c r="AD17" s="1027">
        <v>108</v>
      </c>
      <c r="AE17" s="1028"/>
      <c r="AF17" s="1038"/>
      <c r="AG17" s="1027">
        <v>108</v>
      </c>
      <c r="AH17" s="1028"/>
      <c r="AI17" s="1038"/>
      <c r="AJ17" s="1027">
        <v>108</v>
      </c>
      <c r="AK17" s="1028"/>
      <c r="AL17" s="1038"/>
      <c r="AM17" s="1027">
        <v>108</v>
      </c>
      <c r="AN17" s="1028"/>
      <c r="AO17" s="1038"/>
      <c r="AP17" s="1027">
        <v>108</v>
      </c>
      <c r="AQ17" s="1028"/>
      <c r="AR17" s="1038"/>
      <c r="AS17" s="1027">
        <v>108</v>
      </c>
      <c r="AT17" s="1028"/>
      <c r="AU17" s="1038"/>
      <c r="AV17" s="1027">
        <v>108</v>
      </c>
      <c r="AW17" s="1028"/>
      <c r="AX17" s="1038"/>
      <c r="AY17" s="1027">
        <v>108</v>
      </c>
      <c r="AZ17" s="1028"/>
      <c r="BA17" s="1038"/>
      <c r="BB17" s="1027">
        <v>108</v>
      </c>
      <c r="BC17" s="1028"/>
      <c r="BD17" s="1038"/>
      <c r="BE17" s="1027">
        <v>108</v>
      </c>
      <c r="BF17" s="1028"/>
      <c r="BG17" s="1038"/>
      <c r="BH17" s="1027">
        <v>108</v>
      </c>
      <c r="BI17" s="1028"/>
      <c r="BJ17" s="1038"/>
      <c r="BK17" s="1027">
        <v>108</v>
      </c>
      <c r="BL17" s="1028"/>
      <c r="BM17" s="1038"/>
      <c r="BN17" s="1027">
        <v>108</v>
      </c>
      <c r="BO17" s="1028"/>
      <c r="BP17" s="1038"/>
      <c r="BQ17" s="1027">
        <v>108</v>
      </c>
      <c r="BR17" s="1028"/>
      <c r="BS17" s="1038"/>
      <c r="BT17" s="1027">
        <v>108</v>
      </c>
      <c r="BU17" s="1028"/>
      <c r="BV17" s="1038"/>
      <c r="BW17" s="1027">
        <v>108</v>
      </c>
      <c r="BX17" s="1028"/>
      <c r="BY17" s="1038"/>
      <c r="BZ17" s="1027">
        <v>108</v>
      </c>
      <c r="CA17" s="1028"/>
      <c r="CB17" s="986"/>
      <c r="CC17" s="986"/>
    </row>
    <row r="18" spans="1:85" x14ac:dyDescent="0.2">
      <c r="A18" s="2251"/>
      <c r="B18" s="2252"/>
      <c r="C18" s="2247"/>
      <c r="D18" s="2251"/>
      <c r="E18" s="2252"/>
      <c r="F18" s="2257" t="s">
        <v>34</v>
      </c>
      <c r="G18" s="2258"/>
      <c r="H18" s="1039"/>
      <c r="I18" s="1030">
        <v>10.199999999999999</v>
      </c>
      <c r="J18" s="1031"/>
      <c r="K18" s="1039"/>
      <c r="L18" s="1030">
        <v>10.199999999999999</v>
      </c>
      <c r="M18" s="1031"/>
      <c r="N18" s="1039"/>
      <c r="O18" s="1030">
        <v>10.199999999999999</v>
      </c>
      <c r="P18" s="1031"/>
      <c r="Q18" s="1039"/>
      <c r="R18" s="1030">
        <v>10.199999999999999</v>
      </c>
      <c r="S18" s="1031"/>
      <c r="T18" s="1039"/>
      <c r="U18" s="1030">
        <v>10.199999999999999</v>
      </c>
      <c r="V18" s="1031"/>
      <c r="W18" s="1039"/>
      <c r="X18" s="1030">
        <v>10.199999999999999</v>
      </c>
      <c r="Y18" s="1031"/>
      <c r="Z18" s="1039"/>
      <c r="AA18" s="1030">
        <v>10.199999999999999</v>
      </c>
      <c r="AB18" s="1031"/>
      <c r="AC18" s="1039"/>
      <c r="AD18" s="1030">
        <v>10.199999999999999</v>
      </c>
      <c r="AE18" s="1031"/>
      <c r="AF18" s="1039"/>
      <c r="AG18" s="1030">
        <v>10.199999999999999</v>
      </c>
      <c r="AH18" s="1031"/>
      <c r="AI18" s="1039"/>
      <c r="AJ18" s="1030">
        <v>10.199999999999999</v>
      </c>
      <c r="AK18" s="1031"/>
      <c r="AL18" s="1039"/>
      <c r="AM18" s="1030">
        <v>10.199999999999999</v>
      </c>
      <c r="AN18" s="1031"/>
      <c r="AO18" s="1039"/>
      <c r="AP18" s="1030">
        <v>10.199999999999999</v>
      </c>
      <c r="AQ18" s="1031"/>
      <c r="AR18" s="1039"/>
      <c r="AS18" s="1030">
        <v>10.199999999999999</v>
      </c>
      <c r="AT18" s="1031"/>
      <c r="AU18" s="1039"/>
      <c r="AV18" s="1030">
        <v>10.199999999999999</v>
      </c>
      <c r="AW18" s="1031"/>
      <c r="AX18" s="1039"/>
      <c r="AY18" s="1030">
        <v>10.199999999999999</v>
      </c>
      <c r="AZ18" s="1031"/>
      <c r="BA18" s="1039"/>
      <c r="BB18" s="1030">
        <v>10.199999999999999</v>
      </c>
      <c r="BC18" s="1031"/>
      <c r="BD18" s="1039"/>
      <c r="BE18" s="1030">
        <v>10.199999999999999</v>
      </c>
      <c r="BF18" s="1031"/>
      <c r="BG18" s="1039"/>
      <c r="BH18" s="1030">
        <v>10.199999999999999</v>
      </c>
      <c r="BI18" s="1031"/>
      <c r="BJ18" s="1039"/>
      <c r="BK18" s="1030">
        <v>10.199999999999999</v>
      </c>
      <c r="BL18" s="1031"/>
      <c r="BM18" s="1039"/>
      <c r="BN18" s="1030">
        <v>10.199999999999999</v>
      </c>
      <c r="BO18" s="1031"/>
      <c r="BP18" s="1039"/>
      <c r="BQ18" s="1030">
        <v>10.199999999999999</v>
      </c>
      <c r="BR18" s="1031"/>
      <c r="BS18" s="1039"/>
      <c r="BT18" s="1030">
        <v>10.199999999999999</v>
      </c>
      <c r="BU18" s="1031"/>
      <c r="BV18" s="1039"/>
      <c r="BW18" s="1030">
        <v>10.199999999999999</v>
      </c>
      <c r="BX18" s="1031"/>
      <c r="BY18" s="1039"/>
      <c r="BZ18" s="1030">
        <v>10.199999999999999</v>
      </c>
      <c r="CA18" s="1031"/>
      <c r="CB18" s="986"/>
      <c r="CC18" s="986"/>
    </row>
    <row r="19" spans="1:85" ht="13.5" thickBot="1" x14ac:dyDescent="0.25">
      <c r="A19" s="2251"/>
      <c r="B19" s="2252"/>
      <c r="C19" s="2247"/>
      <c r="D19" s="2253"/>
      <c r="E19" s="2254"/>
      <c r="F19" s="2259"/>
      <c r="G19" s="2260"/>
      <c r="H19" s="811"/>
      <c r="I19" s="1032"/>
      <c r="J19" s="984"/>
      <c r="K19" s="811"/>
      <c r="L19" s="1032"/>
      <c r="M19" s="984"/>
      <c r="N19" s="811"/>
      <c r="O19" s="1032"/>
      <c r="P19" s="984"/>
      <c r="Q19" s="811"/>
      <c r="R19" s="1032"/>
      <c r="S19" s="984"/>
      <c r="T19" s="811"/>
      <c r="U19" s="1032"/>
      <c r="V19" s="984"/>
      <c r="W19" s="811"/>
      <c r="X19" s="1032"/>
      <c r="Y19" s="984"/>
      <c r="Z19" s="811"/>
      <c r="AA19" s="1032"/>
      <c r="AB19" s="984"/>
      <c r="AC19" s="811"/>
      <c r="AD19" s="1032"/>
      <c r="AE19" s="984"/>
      <c r="AF19" s="811"/>
      <c r="AG19" s="1032"/>
      <c r="AH19" s="984"/>
      <c r="AI19" s="811"/>
      <c r="AJ19" s="1032"/>
      <c r="AK19" s="984"/>
      <c r="AL19" s="811"/>
      <c r="AM19" s="1032"/>
      <c r="AN19" s="984"/>
      <c r="AO19" s="811"/>
      <c r="AP19" s="1032"/>
      <c r="AQ19" s="984"/>
      <c r="AR19" s="811"/>
      <c r="AS19" s="1032"/>
      <c r="AT19" s="984"/>
      <c r="AU19" s="811"/>
      <c r="AV19" s="1032"/>
      <c r="AW19" s="984"/>
      <c r="AX19" s="811"/>
      <c r="AY19" s="1032"/>
      <c r="AZ19" s="984"/>
      <c r="BA19" s="811"/>
      <c r="BB19" s="1032"/>
      <c r="BC19" s="984"/>
      <c r="BD19" s="811"/>
      <c r="BE19" s="1032"/>
      <c r="BF19" s="984"/>
      <c r="BG19" s="811"/>
      <c r="BH19" s="1032"/>
      <c r="BI19" s="984"/>
      <c r="BJ19" s="811"/>
      <c r="BK19" s="1032"/>
      <c r="BL19" s="984"/>
      <c r="BM19" s="811"/>
      <c r="BN19" s="1032"/>
      <c r="BO19" s="984"/>
      <c r="BP19" s="811"/>
      <c r="BQ19" s="1032"/>
      <c r="BR19" s="984"/>
      <c r="BS19" s="811"/>
      <c r="BT19" s="1032"/>
      <c r="BU19" s="984"/>
      <c r="BV19" s="811"/>
      <c r="BW19" s="1032"/>
      <c r="BX19" s="984"/>
      <c r="BY19" s="811"/>
      <c r="BZ19" s="1032"/>
      <c r="CA19" s="984"/>
      <c r="CB19" s="986"/>
      <c r="CC19" s="986"/>
    </row>
    <row r="20" spans="1:85" ht="13.5" thickBot="1" x14ac:dyDescent="0.25">
      <c r="A20" s="2253"/>
      <c r="B20" s="2254"/>
      <c r="C20" s="2248"/>
      <c r="D20" s="2261" t="s">
        <v>39</v>
      </c>
      <c r="E20" s="2262"/>
      <c r="F20" s="2262"/>
      <c r="G20" s="2263"/>
      <c r="H20" s="1033"/>
      <c r="I20" s="1034">
        <v>8</v>
      </c>
      <c r="J20" s="1035"/>
      <c r="K20" s="1033"/>
      <c r="L20" s="1034">
        <v>8</v>
      </c>
      <c r="M20" s="1035"/>
      <c r="N20" s="1033"/>
      <c r="O20" s="1034">
        <v>8</v>
      </c>
      <c r="P20" s="1035"/>
      <c r="Q20" s="1033"/>
      <c r="R20" s="1034">
        <v>8</v>
      </c>
      <c r="S20" s="1035"/>
      <c r="T20" s="1033"/>
      <c r="U20" s="1034">
        <v>8</v>
      </c>
      <c r="V20" s="1035"/>
      <c r="W20" s="1033"/>
      <c r="X20" s="1034">
        <v>8</v>
      </c>
      <c r="Y20" s="1035"/>
      <c r="Z20" s="1033"/>
      <c r="AA20" s="1034">
        <v>8</v>
      </c>
      <c r="AB20" s="1035"/>
      <c r="AC20" s="1033"/>
      <c r="AD20" s="1034">
        <v>8</v>
      </c>
      <c r="AE20" s="1035"/>
      <c r="AF20" s="1033"/>
      <c r="AG20" s="1034">
        <v>8</v>
      </c>
      <c r="AH20" s="1035"/>
      <c r="AI20" s="1033"/>
      <c r="AJ20" s="1034">
        <v>8</v>
      </c>
      <c r="AK20" s="1035"/>
      <c r="AL20" s="1033"/>
      <c r="AM20" s="1034">
        <v>8</v>
      </c>
      <c r="AN20" s="1035"/>
      <c r="AO20" s="1033"/>
      <c r="AP20" s="1034">
        <v>8</v>
      </c>
      <c r="AQ20" s="1035"/>
      <c r="AR20" s="1033"/>
      <c r="AS20" s="1034">
        <v>8</v>
      </c>
      <c r="AT20" s="1035"/>
      <c r="AU20" s="1033"/>
      <c r="AV20" s="1034">
        <v>8</v>
      </c>
      <c r="AW20" s="1035"/>
      <c r="AX20" s="1033"/>
      <c r="AY20" s="1034">
        <v>8</v>
      </c>
      <c r="AZ20" s="1035"/>
      <c r="BA20" s="1033"/>
      <c r="BB20" s="1034">
        <v>8</v>
      </c>
      <c r="BC20" s="1035"/>
      <c r="BD20" s="1033"/>
      <c r="BE20" s="1034">
        <v>8</v>
      </c>
      <c r="BF20" s="1035"/>
      <c r="BG20" s="1033"/>
      <c r="BH20" s="1034">
        <v>8</v>
      </c>
      <c r="BI20" s="1035"/>
      <c r="BJ20" s="1033"/>
      <c r="BK20" s="1034">
        <v>8</v>
      </c>
      <c r="BL20" s="1035"/>
      <c r="BM20" s="1033"/>
      <c r="BN20" s="1034">
        <v>8</v>
      </c>
      <c r="BO20" s="1035"/>
      <c r="BP20" s="1033"/>
      <c r="BQ20" s="1034">
        <v>8</v>
      </c>
      <c r="BR20" s="1035"/>
      <c r="BS20" s="1033"/>
      <c r="BT20" s="1034">
        <v>8</v>
      </c>
      <c r="BU20" s="1035"/>
      <c r="BV20" s="1033"/>
      <c r="BW20" s="1034">
        <v>8</v>
      </c>
      <c r="BX20" s="1035"/>
      <c r="BY20" s="1033"/>
      <c r="BZ20" s="1034">
        <v>8</v>
      </c>
      <c r="CA20" s="1035"/>
      <c r="CB20" s="986"/>
      <c r="CC20" s="986"/>
    </row>
    <row r="21" spans="1:85" s="799" customFormat="1" ht="19.5" customHeight="1" x14ac:dyDescent="0.2">
      <c r="A21" s="2249" t="s">
        <v>100</v>
      </c>
      <c r="B21" s="2250"/>
      <c r="C21" s="2246">
        <v>0.25</v>
      </c>
      <c r="D21" s="2372" t="s">
        <v>13</v>
      </c>
      <c r="E21" s="2373"/>
      <c r="F21" s="2266"/>
      <c r="G21" s="2267"/>
      <c r="H21" s="528">
        <f>SQRT(I21^2+J21^2)*1000/(1.73*I22)</f>
        <v>17.421069952663341</v>
      </c>
      <c r="I21" s="1040">
        <v>1.1904E-2</v>
      </c>
      <c r="J21" s="1041">
        <f>-1*-0.000128</f>
        <v>1.2799999999999999E-4</v>
      </c>
      <c r="K21" s="528">
        <f>SQRT(L21^2+M21^2)*1000/(1.73*L22)</f>
        <v>17.375506635168104</v>
      </c>
      <c r="L21" s="1040">
        <v>1.1872000000000001E-2</v>
      </c>
      <c r="M21" s="1041">
        <f>-1*-0.000192</f>
        <v>1.92E-4</v>
      </c>
      <c r="N21" s="528">
        <f>SQRT(O21^2+P21^2)*1000/(1.73*O22)</f>
        <v>17.420629385352385</v>
      </c>
      <c r="O21" s="1040">
        <v>1.1904E-2</v>
      </c>
      <c r="P21" s="1041">
        <f>-1*-0.000096</f>
        <v>9.6000000000000002E-5</v>
      </c>
      <c r="Q21" s="528">
        <f>SQRT(R21^2+S21^2)*1000/(1.73*R22)</f>
        <v>17.420314687594264</v>
      </c>
      <c r="R21" s="1040">
        <v>1.1904E-2</v>
      </c>
      <c r="S21" s="1041">
        <f>-1*-0.000064</f>
        <v>6.3999999999999997E-5</v>
      </c>
      <c r="T21" s="528">
        <f>SQRT(U21^2+V21^2)*1000/(1.73*U22)</f>
        <v>17.327419143450786</v>
      </c>
      <c r="U21" s="1040">
        <v>1.184E-2</v>
      </c>
      <c r="V21" s="1041">
        <f>-1*-0.000128</f>
        <v>1.2799999999999999E-4</v>
      </c>
      <c r="W21" s="528">
        <f>SQRT(X21^2+Y21^2)*1000/(1.73*X22)</f>
        <v>17.374812494567873</v>
      </c>
      <c r="X21" s="1040">
        <v>1.1872000000000001E-2</v>
      </c>
      <c r="Y21" s="1041">
        <f>-1*-0.00016</f>
        <v>1.6000000000000001E-4</v>
      </c>
      <c r="Z21" s="528">
        <f>SQRT(AA21^2+AB21^2)*1000/(1.73*AA22)</f>
        <v>17.280593760968877</v>
      </c>
      <c r="AA21" s="1040">
        <v>1.1807999999999999E-2</v>
      </c>
      <c r="AB21" s="1041">
        <f>-1*-0.000128</f>
        <v>1.2799999999999999E-4</v>
      </c>
      <c r="AC21" s="528">
        <f>SQRT(AD21^2+AE21^2)*1000/(1.73*AD22)</f>
        <v>17.608932147159184</v>
      </c>
      <c r="AD21" s="1040">
        <v>1.2031999999999999E-2</v>
      </c>
      <c r="AE21" s="1041">
        <f>-1*-0.00016</f>
        <v>1.6000000000000001E-4</v>
      </c>
      <c r="AF21" s="528">
        <f>SQRT(AG21^2+AH21^2)*1000/(1.73*AG22)</f>
        <v>16.749354388685749</v>
      </c>
      <c r="AG21" s="1040">
        <v>1.1424E-2</v>
      </c>
      <c r="AH21" s="1041">
        <f>-1*-0.000704</f>
        <v>7.0399999999999998E-4</v>
      </c>
      <c r="AI21" s="528">
        <f>SQRT(AJ21^2+AK21^2)*1000/(1.73*AJ22)</f>
        <v>16.84882225843916</v>
      </c>
      <c r="AJ21" s="1040">
        <v>1.1488E-2</v>
      </c>
      <c r="AK21" s="1041">
        <f>-1*-0.000768</f>
        <v>7.6800000000000002E-4</v>
      </c>
      <c r="AL21" s="528">
        <f>SQRT(AM21^2+AN21^2)*1000/(1.73*AM22)</f>
        <v>17.208619585690169</v>
      </c>
      <c r="AM21" s="1040">
        <v>1.1712E-2</v>
      </c>
      <c r="AN21" s="1041">
        <f>-1*-0.001056</f>
        <v>1.0560000000000001E-3</v>
      </c>
      <c r="AO21" s="528">
        <f>SQRT(AP21^2+AQ21^2)*1000/(1.73*AP22)</f>
        <v>16.75229989406531</v>
      </c>
      <c r="AP21" s="1040">
        <v>1.1424E-2</v>
      </c>
      <c r="AQ21" s="1041">
        <f>-1*-0.000736</f>
        <v>7.36E-4</v>
      </c>
      <c r="AR21" s="528">
        <f>SQRT(AS21^2+AT21^2)*1000/(1.73*AS22)</f>
        <v>16.518650536423159</v>
      </c>
      <c r="AS21" s="1040">
        <v>1.1264E-2</v>
      </c>
      <c r="AT21" s="1041">
        <f>-1*-0.000736</f>
        <v>7.36E-4</v>
      </c>
      <c r="AU21" s="528">
        <f>SQRT(AV21^2+AW21^2)*1000/(1.73*AV22)</f>
        <v>16.468926687635179</v>
      </c>
      <c r="AV21" s="1040">
        <v>1.1231999999999999E-2</v>
      </c>
      <c r="AW21" s="1041">
        <f>-1*-0.000704</f>
        <v>7.0399999999999998E-4</v>
      </c>
      <c r="AX21" s="528">
        <f>SQRT(AY21^2+AZ21^2)*1000/(1.73*AY22)</f>
        <v>16.796094097063776</v>
      </c>
      <c r="AY21" s="1040">
        <v>1.1455999999999999E-2</v>
      </c>
      <c r="AZ21" s="1041">
        <f>-1*-0.000704</f>
        <v>7.0399999999999998E-4</v>
      </c>
      <c r="BA21" s="528">
        <f>SQRT(BB21^2+BC21^2)*1000/(1.73*BB22)</f>
        <v>16.699792218732266</v>
      </c>
      <c r="BB21" s="1040">
        <v>1.1391999999999999E-2</v>
      </c>
      <c r="BC21" s="1041">
        <f>-1*-0.000672</f>
        <v>6.7199999999999996E-4</v>
      </c>
      <c r="BD21" s="528">
        <f>SQRT(BE21^2+BF21^2)*1000/(1.73*BE22)</f>
        <v>17.564542849269277</v>
      </c>
      <c r="BE21" s="1040">
        <v>1.2E-2</v>
      </c>
      <c r="BF21" s="1041">
        <f>-1*-0.000256</f>
        <v>2.5599999999999999E-4</v>
      </c>
      <c r="BG21" s="528">
        <f>SQRT(BH21^2+BI21^2)*1000/(1.73*BH22)</f>
        <v>18.311294323675654</v>
      </c>
      <c r="BH21" s="1040">
        <v>1.2512000000000001E-2</v>
      </c>
      <c r="BI21" s="1041">
        <f>-1*-0.00016</f>
        <v>1.6000000000000001E-4</v>
      </c>
      <c r="BJ21" s="528">
        <f>SQRT(BK21^2+BL21^2)*1000/(1.73*BK22)</f>
        <v>17.938167595628602</v>
      </c>
      <c r="BK21" s="1040">
        <v>1.2256E-2</v>
      </c>
      <c r="BL21" s="1041">
        <f>-1*-0.000224</f>
        <v>2.24E-4</v>
      </c>
      <c r="BM21" s="528">
        <f>SQRT(BN21^2+BO21^2)*1000/(1.73*BN22)</f>
        <v>17.514282608538451</v>
      </c>
      <c r="BN21" s="1040">
        <v>1.1967999999999999E-2</v>
      </c>
      <c r="BO21" s="1041">
        <f>-1*-0.000096</f>
        <v>9.6000000000000002E-5</v>
      </c>
      <c r="BP21" s="528">
        <f>SQRT(BQ21^2+BR21^2)*1000/(1.73*BQ22)</f>
        <v>16.625633576774867</v>
      </c>
      <c r="BQ21" s="1040">
        <v>1.1359999999999999E-2</v>
      </c>
      <c r="BR21" s="1041">
        <f>-1*-0.00016</f>
        <v>1.6000000000000001E-4</v>
      </c>
      <c r="BS21" s="528">
        <f>SQRT(BT21^2+BU21^2)*1000/(1.73*BT22)</f>
        <v>16.111325515880207</v>
      </c>
      <c r="BT21" s="1040">
        <v>1.1007999999999999E-2</v>
      </c>
      <c r="BU21" s="1041">
        <f>-1*-0.000192</f>
        <v>1.92E-4</v>
      </c>
      <c r="BV21" s="528">
        <f>SQRT(BW21^2+BX21^2)*1000/(1.73*BW22)</f>
        <v>16.016930603867106</v>
      </c>
      <c r="BW21" s="1040">
        <v>1.0943999999999999E-2</v>
      </c>
      <c r="BX21" s="1041">
        <f>-1*-0.00016</f>
        <v>1.6000000000000001E-4</v>
      </c>
      <c r="BY21" s="528">
        <f>SQRT(BZ21^2+CA21^2)*1000/(1.73*BZ22)</f>
        <v>15.64234658330478</v>
      </c>
      <c r="BZ21" s="1040">
        <v>1.0688E-2</v>
      </c>
      <c r="CA21" s="1041">
        <f>-1*-0.00016</f>
        <v>1.6000000000000001E-4</v>
      </c>
      <c r="CB21" s="1042">
        <f>SUM(BZ21,BW21,BT21,BQ21,BN21,BK21,BH21,BE21,BB21,AY21,AV21,AS21,AP21,AM21,AJ21,AG21,AD21,AA21,X21,U21,R21,O21,L21,I21)</f>
        <v>0.27926399999999996</v>
      </c>
      <c r="CC21" s="1042">
        <f>SUM(CA21,BX21,BU21,BR21,BO21,BL21,BI21,BF21,BC21,AZ21,AW21,AT21,AQ21,AN21,AK21,AH21,AE21,AB21,Y21,V21,S21,P21,M21,J21)</f>
        <v>8.5439999999999978E-3</v>
      </c>
      <c r="CE21" s="915"/>
    </row>
    <row r="22" spans="1:85" ht="13.5" thickBot="1" x14ac:dyDescent="0.25">
      <c r="A22" s="2253"/>
      <c r="B22" s="2254"/>
      <c r="C22" s="2248"/>
      <c r="D22" s="2270" t="s">
        <v>14</v>
      </c>
      <c r="E22" s="2271"/>
      <c r="F22" s="2268"/>
      <c r="G22" s="2269"/>
      <c r="H22" s="929"/>
      <c r="I22" s="930">
        <v>0.39500000000000002</v>
      </c>
      <c r="J22" s="1043"/>
      <c r="K22" s="929"/>
      <c r="L22" s="930">
        <v>0.39500000000000002</v>
      </c>
      <c r="M22" s="1043"/>
      <c r="N22" s="929"/>
      <c r="O22" s="930">
        <v>0.39500000000000002</v>
      </c>
      <c r="P22" s="1043"/>
      <c r="Q22" s="929"/>
      <c r="R22" s="930">
        <v>0.39500000000000002</v>
      </c>
      <c r="S22" s="1043"/>
      <c r="T22" s="929"/>
      <c r="U22" s="930">
        <v>0.39500000000000002</v>
      </c>
      <c r="V22" s="1043"/>
      <c r="W22" s="929"/>
      <c r="X22" s="930">
        <v>0.39500000000000002</v>
      </c>
      <c r="Y22" s="1043"/>
      <c r="Z22" s="929"/>
      <c r="AA22" s="930">
        <v>0.39500000000000002</v>
      </c>
      <c r="AB22" s="1043"/>
      <c r="AC22" s="929"/>
      <c r="AD22" s="930">
        <v>0.39500000000000002</v>
      </c>
      <c r="AE22" s="1043"/>
      <c r="AF22" s="929"/>
      <c r="AG22" s="930">
        <v>0.39500000000000002</v>
      </c>
      <c r="AH22" s="1043"/>
      <c r="AI22" s="929"/>
      <c r="AJ22" s="930">
        <v>0.39500000000000002</v>
      </c>
      <c r="AK22" s="1043"/>
      <c r="AL22" s="929"/>
      <c r="AM22" s="930">
        <v>0.39500000000000002</v>
      </c>
      <c r="AN22" s="1043"/>
      <c r="AO22" s="929"/>
      <c r="AP22" s="930">
        <v>0.39500000000000002</v>
      </c>
      <c r="AQ22" s="1043"/>
      <c r="AR22" s="929"/>
      <c r="AS22" s="930">
        <v>0.39500000000000002</v>
      </c>
      <c r="AT22" s="1043"/>
      <c r="AU22" s="929"/>
      <c r="AV22" s="930">
        <v>0.39500000000000002</v>
      </c>
      <c r="AW22" s="1043"/>
      <c r="AX22" s="929"/>
      <c r="AY22" s="930">
        <v>0.39500000000000002</v>
      </c>
      <c r="AZ22" s="1043"/>
      <c r="BA22" s="929"/>
      <c r="BB22" s="930">
        <v>0.39500000000000002</v>
      </c>
      <c r="BC22" s="1043"/>
      <c r="BD22" s="929"/>
      <c r="BE22" s="930">
        <v>0.39500000000000002</v>
      </c>
      <c r="BF22" s="1043"/>
      <c r="BG22" s="929"/>
      <c r="BH22" s="930">
        <v>0.39500000000000002</v>
      </c>
      <c r="BI22" s="1043"/>
      <c r="BJ22" s="929"/>
      <c r="BK22" s="930">
        <v>0.39500000000000002</v>
      </c>
      <c r="BL22" s="1043"/>
      <c r="BM22" s="929"/>
      <c r="BN22" s="930">
        <v>0.39500000000000002</v>
      </c>
      <c r="BO22" s="1043"/>
      <c r="BP22" s="929"/>
      <c r="BQ22" s="930">
        <v>0.39500000000000002</v>
      </c>
      <c r="BR22" s="1043"/>
      <c r="BS22" s="929"/>
      <c r="BT22" s="930">
        <v>0.39500000000000002</v>
      </c>
      <c r="BU22" s="1043"/>
      <c r="BV22" s="929"/>
      <c r="BW22" s="930">
        <v>0.39500000000000002</v>
      </c>
      <c r="BX22" s="1043"/>
      <c r="BY22" s="929"/>
      <c r="BZ22" s="930">
        <v>0.39500000000000002</v>
      </c>
      <c r="CA22" s="1043"/>
      <c r="CB22" s="986"/>
      <c r="CC22" s="986"/>
    </row>
    <row r="23" spans="1:85" s="799" customFormat="1" ht="17.25" customHeight="1" x14ac:dyDescent="0.2">
      <c r="A23" s="2249" t="s">
        <v>101</v>
      </c>
      <c r="B23" s="2250"/>
      <c r="C23" s="2246">
        <v>0.25</v>
      </c>
      <c r="D23" s="2372" t="s">
        <v>13</v>
      </c>
      <c r="E23" s="2373"/>
      <c r="F23" s="2266"/>
      <c r="G23" s="2267"/>
      <c r="H23" s="528">
        <f>SQRT(I23^2+J23^2)*1000/(1.73*I24)</f>
        <v>31.789070763609569</v>
      </c>
      <c r="I23" s="1040">
        <v>2.1856E-2</v>
      </c>
      <c r="J23" s="1041">
        <f>-1*-0.001184</f>
        <v>1.1839999999999999E-3</v>
      </c>
      <c r="K23" s="528">
        <f>SQRT(L23^2+M23^2)*1000/(1.73*L24)</f>
        <v>31.276084229465372</v>
      </c>
      <c r="L23" s="1040">
        <v>2.1504000000000002E-2</v>
      </c>
      <c r="M23" s="1041">
        <f>-1*-0.001152</f>
        <v>1.152E-3</v>
      </c>
      <c r="N23" s="528">
        <f>SQRT(O23^2+P23^2)*1000/(1.73*O24)</f>
        <v>31.000179438735319</v>
      </c>
      <c r="O23" s="1040">
        <v>2.1312000000000001E-2</v>
      </c>
      <c r="P23" s="1041">
        <f>-1*-0.001184</f>
        <v>1.1839999999999999E-3</v>
      </c>
      <c r="Q23" s="528">
        <f>SQRT(R23^2+S23^2)*1000/(1.73*R24)</f>
        <v>31.044043698044838</v>
      </c>
      <c r="R23" s="1040">
        <v>2.1344000000000002E-2</v>
      </c>
      <c r="S23" s="1041">
        <f>-1*-0.001152</f>
        <v>1.152E-3</v>
      </c>
      <c r="T23" s="528">
        <f>SQRT(U23^2+V23^2)*1000/(1.73*U24)</f>
        <v>30.997636194445544</v>
      </c>
      <c r="U23" s="1040">
        <v>2.1312000000000001E-2</v>
      </c>
      <c r="V23" s="1041">
        <f>-1*-0.001152</f>
        <v>1.152E-3</v>
      </c>
      <c r="W23" s="528">
        <f>SQRT(X23^2+Y23^2)*1000/(1.73*X24)</f>
        <v>30.904821797171877</v>
      </c>
      <c r="X23" s="1040">
        <v>2.1248E-2</v>
      </c>
      <c r="Y23" s="1041">
        <f>-1*-0.001152</f>
        <v>1.152E-3</v>
      </c>
      <c r="Z23" s="528">
        <f>SQRT(AA23^2+AB23^2)*1000/(1.73*AA24)</f>
        <v>31.136859310623041</v>
      </c>
      <c r="AA23" s="1040">
        <v>2.1408E-2</v>
      </c>
      <c r="AB23" s="1041">
        <f>-1*-0.001152</f>
        <v>1.152E-3</v>
      </c>
      <c r="AC23" s="528">
        <f>SQRT(AD23^2+AE23^2)*1000/(1.73*AD24)</f>
        <v>31.464225949905252</v>
      </c>
      <c r="AD23" s="1040">
        <v>2.1632000000000002E-2</v>
      </c>
      <c r="AE23" s="1041">
        <f>-1*-0.001184</f>
        <v>1.1839999999999999E-3</v>
      </c>
      <c r="AF23" s="528">
        <f>SQRT(AG23^2+AH23^2)*1000/(1.73*AG24)</f>
        <v>31.090451403738545</v>
      </c>
      <c r="AG23" s="1040">
        <v>2.1376000000000003E-2</v>
      </c>
      <c r="AH23" s="1041">
        <f>-1*-0.001152</f>
        <v>1.152E-3</v>
      </c>
      <c r="AI23" s="528">
        <f>SQRT(AJ23^2+AK23^2)*1000/(1.73*AJ24)</f>
        <v>31.327595415975722</v>
      </c>
      <c r="AJ23" s="1040">
        <v>2.1536000000000003E-2</v>
      </c>
      <c r="AK23" s="1041">
        <f>-1*-0.001216</f>
        <v>1.2160000000000001E-3</v>
      </c>
      <c r="AL23" s="528">
        <f>SQRT(AM23^2+AN23^2)*1000/(1.73*AM24)</f>
        <v>31.510631743929693</v>
      </c>
      <c r="AM23" s="1040">
        <v>2.1664000000000003E-2</v>
      </c>
      <c r="AN23" s="1041">
        <f>-1*-0.001184</f>
        <v>1.1839999999999999E-3</v>
      </c>
      <c r="AO23" s="528">
        <f>SQRT(AP23^2+AQ23^2)*1000/(1.73*AP24)</f>
        <v>31.513202128176868</v>
      </c>
      <c r="AP23" s="1040">
        <v>2.1664000000000003E-2</v>
      </c>
      <c r="AQ23" s="1041">
        <f>-1*-0.001216</f>
        <v>1.2160000000000001E-3</v>
      </c>
      <c r="AR23" s="528">
        <f>SQRT(AS23^2+AT23^2)*1000/(1.73*AS24)</f>
        <v>31.791618635790755</v>
      </c>
      <c r="AS23" s="1040">
        <v>2.1856E-2</v>
      </c>
      <c r="AT23" s="1041">
        <f>-1*-0.001216</f>
        <v>1.2160000000000001E-3</v>
      </c>
      <c r="AU23" s="528">
        <f>SQRT(AV23^2+AW23^2)*1000/(1.73*AV24)</f>
        <v>31.652409425999011</v>
      </c>
      <c r="AV23" s="1040">
        <v>2.1760000000000002E-2</v>
      </c>
      <c r="AW23" s="1041">
        <f>-1*-0.001216</f>
        <v>1.2160000000000001E-3</v>
      </c>
      <c r="AX23" s="528">
        <f>SQRT(AY23^2+AZ23^2)*1000/(1.73*AY24)</f>
        <v>31.417820360919805</v>
      </c>
      <c r="AY23" s="1040">
        <v>2.1600000000000001E-2</v>
      </c>
      <c r="AZ23" s="1041">
        <f>-1*-0.001184</f>
        <v>1.1839999999999999E-3</v>
      </c>
      <c r="BA23" s="528">
        <f>SQRT(BB23^2+BC23^2)*1000/(1.73*BB24)</f>
        <v>31.278604833323367</v>
      </c>
      <c r="BB23" s="1040">
        <v>2.1504000000000002E-2</v>
      </c>
      <c r="BC23" s="1041">
        <f>-1*-0.001184</f>
        <v>1.1839999999999999E-3</v>
      </c>
      <c r="BD23" s="528">
        <f>SQRT(BE23^2+BF23^2)*1000/(1.73*BE24)</f>
        <v>31.466800124837491</v>
      </c>
      <c r="BE23" s="1040">
        <v>2.1632000000000002E-2</v>
      </c>
      <c r="BF23" s="1041">
        <f>-1*-0.001216</f>
        <v>1.2160000000000001E-3</v>
      </c>
      <c r="BG23" s="528">
        <f>SQRT(BH23^2+BI23^2)*1000/(1.73*BH24)</f>
        <v>31.60344394348262</v>
      </c>
      <c r="BH23" s="1040">
        <v>2.1728000000000001E-2</v>
      </c>
      <c r="BI23" s="1041">
        <f>-1*-0.001184</f>
        <v>1.1839999999999999E-3</v>
      </c>
      <c r="BJ23" s="528">
        <f>SQRT(BK23^2+BL23^2)*1000/(1.73*BK24)</f>
        <v>31.789070763609569</v>
      </c>
      <c r="BK23" s="1040">
        <v>2.1856E-2</v>
      </c>
      <c r="BL23" s="1041">
        <f>-1*-0.001184</f>
        <v>1.1839999999999999E-3</v>
      </c>
      <c r="BM23" s="528">
        <f>SQRT(BN23^2+BO23^2)*1000/(1.73*BN24)</f>
        <v>32.070042691689331</v>
      </c>
      <c r="BN23" s="1040">
        <v>2.2048000000000002E-2</v>
      </c>
      <c r="BO23" s="1041">
        <f>-1*-0.001216</f>
        <v>1.2160000000000001E-3</v>
      </c>
      <c r="BP23" s="528">
        <f>SQRT(BQ23^2+BR23^2)*1000/(1.73*BQ24)</f>
        <v>32.113925320355605</v>
      </c>
      <c r="BQ23" s="1040">
        <v>2.2079999999999999E-2</v>
      </c>
      <c r="BR23" s="1041">
        <f>-1*-0.001184</f>
        <v>1.1839999999999999E-3</v>
      </c>
      <c r="BS23" s="528">
        <f>SQRT(BT23^2+BU23^2)*1000/(1.73*BT24)</f>
        <v>32.255662825920524</v>
      </c>
      <c r="BT23" s="1040">
        <v>2.2175999999999998E-2</v>
      </c>
      <c r="BU23" s="1041">
        <f>-1*-0.001216</f>
        <v>1.2160000000000001E-3</v>
      </c>
      <c r="BV23" s="528">
        <f>SQRT(BW23^2+BX23^2)*1000/(1.73*BW24)</f>
        <v>32.206742656278102</v>
      </c>
      <c r="BW23" s="1040">
        <v>2.2143999999999997E-2</v>
      </c>
      <c r="BX23" s="1041">
        <f>-1*-0.001184</f>
        <v>1.1839999999999999E-3</v>
      </c>
      <c r="BY23" s="528">
        <f>SQRT(BZ23^2+CA23^2)*1000/(1.73*BZ24)</f>
        <v>31.789070763609569</v>
      </c>
      <c r="BZ23" s="1040">
        <v>2.1856E-2</v>
      </c>
      <c r="CA23" s="1041">
        <f>-1*-0.001184</f>
        <v>1.1839999999999999E-3</v>
      </c>
      <c r="CB23" s="1042">
        <f>SUM(BZ23,BW23,BT23,BQ23,BN23,BK23,BH23,BE23,BB23,AY23,AV23,AS23,AP23,AM23,AJ23,AG23,AD23,AA23,X23,U23,R23,O23,L23,I23)</f>
        <v>0.52009600000000011</v>
      </c>
      <c r="CC23" s="1042">
        <f>SUM(CA23,BX23,BU23,BR23,BO23,BL23,BI23,BF23,BC23,AZ23,AW23,AT23,AQ23,AN23,AK23,AH23,AE23,AB23,Y23,V23,S23,P23,M23,J23)</f>
        <v>2.8448000000000005E-2</v>
      </c>
      <c r="CE23" s="915"/>
    </row>
    <row r="24" spans="1:85" ht="13.5" thickBot="1" x14ac:dyDescent="0.25">
      <c r="A24" s="2253"/>
      <c r="B24" s="2254"/>
      <c r="C24" s="2248"/>
      <c r="D24" s="2270" t="s">
        <v>14</v>
      </c>
      <c r="E24" s="2271"/>
      <c r="F24" s="2268"/>
      <c r="G24" s="2269"/>
      <c r="H24" s="929"/>
      <c r="I24" s="930">
        <v>0.39800000000000002</v>
      </c>
      <c r="J24" s="1043"/>
      <c r="K24" s="929"/>
      <c r="L24" s="930">
        <v>0.39800000000000002</v>
      </c>
      <c r="M24" s="1043"/>
      <c r="N24" s="929"/>
      <c r="O24" s="930">
        <v>0.39800000000000002</v>
      </c>
      <c r="P24" s="1043"/>
      <c r="Q24" s="929"/>
      <c r="R24" s="930">
        <v>0.39800000000000002</v>
      </c>
      <c r="S24" s="1043"/>
      <c r="T24" s="929"/>
      <c r="U24" s="930">
        <v>0.39800000000000002</v>
      </c>
      <c r="V24" s="1043"/>
      <c r="W24" s="929"/>
      <c r="X24" s="930">
        <v>0.39800000000000002</v>
      </c>
      <c r="Y24" s="1043"/>
      <c r="Z24" s="929"/>
      <c r="AA24" s="930">
        <v>0.39800000000000002</v>
      </c>
      <c r="AB24" s="1043"/>
      <c r="AC24" s="929"/>
      <c r="AD24" s="930">
        <v>0.39800000000000002</v>
      </c>
      <c r="AE24" s="1043"/>
      <c r="AF24" s="929"/>
      <c r="AG24" s="930">
        <v>0.39800000000000002</v>
      </c>
      <c r="AH24" s="1043"/>
      <c r="AI24" s="929"/>
      <c r="AJ24" s="930">
        <v>0.39800000000000002</v>
      </c>
      <c r="AK24" s="1043"/>
      <c r="AL24" s="929"/>
      <c r="AM24" s="930">
        <v>0.39800000000000002</v>
      </c>
      <c r="AN24" s="1043"/>
      <c r="AO24" s="929"/>
      <c r="AP24" s="930">
        <v>0.39800000000000002</v>
      </c>
      <c r="AQ24" s="1043"/>
      <c r="AR24" s="929"/>
      <c r="AS24" s="930">
        <v>0.39800000000000002</v>
      </c>
      <c r="AT24" s="1043"/>
      <c r="AU24" s="929"/>
      <c r="AV24" s="930">
        <v>0.39800000000000002</v>
      </c>
      <c r="AW24" s="1043"/>
      <c r="AX24" s="929"/>
      <c r="AY24" s="930">
        <v>0.39800000000000002</v>
      </c>
      <c r="AZ24" s="1043"/>
      <c r="BA24" s="929"/>
      <c r="BB24" s="930">
        <v>0.39800000000000002</v>
      </c>
      <c r="BC24" s="1043"/>
      <c r="BD24" s="929"/>
      <c r="BE24" s="930">
        <v>0.39800000000000002</v>
      </c>
      <c r="BF24" s="1043"/>
      <c r="BG24" s="929"/>
      <c r="BH24" s="930">
        <v>0.39800000000000002</v>
      </c>
      <c r="BI24" s="1043"/>
      <c r="BJ24" s="929"/>
      <c r="BK24" s="930">
        <v>0.39800000000000002</v>
      </c>
      <c r="BL24" s="1043"/>
      <c r="BM24" s="929"/>
      <c r="BN24" s="930">
        <v>0.39800000000000002</v>
      </c>
      <c r="BO24" s="1043"/>
      <c r="BP24" s="929"/>
      <c r="BQ24" s="930">
        <v>0.39800000000000002</v>
      </c>
      <c r="BR24" s="1043"/>
      <c r="BS24" s="929"/>
      <c r="BT24" s="930">
        <v>0.39800000000000002</v>
      </c>
      <c r="BU24" s="1043"/>
      <c r="BV24" s="929"/>
      <c r="BW24" s="930">
        <v>0.39800000000000002</v>
      </c>
      <c r="BX24" s="1043"/>
      <c r="BY24" s="929"/>
      <c r="BZ24" s="930">
        <v>0.39800000000000002</v>
      </c>
      <c r="CA24" s="1043"/>
      <c r="CB24" s="986"/>
      <c r="CC24" s="986"/>
    </row>
    <row r="25" spans="1:85" x14ac:dyDescent="0.2">
      <c r="A25" s="2316" t="s">
        <v>35</v>
      </c>
      <c r="B25" s="2272"/>
      <c r="C25" s="2273"/>
      <c r="D25" s="2276" t="s">
        <v>33</v>
      </c>
      <c r="E25" s="2277"/>
      <c r="F25" s="2277"/>
      <c r="G25" s="2278"/>
      <c r="H25" s="1044">
        <f>H7+H14</f>
        <v>53.70739607776396</v>
      </c>
      <c r="I25" s="568">
        <f>I7+I14</f>
        <v>9.8735999999999997</v>
      </c>
      <c r="J25" s="716">
        <f>J7+J14</f>
        <v>2.3231999999999999</v>
      </c>
      <c r="K25" s="1044">
        <f t="shared" ref="K25:BV25" si="0">K7+K14</f>
        <v>51.115313024527822</v>
      </c>
      <c r="L25" s="568">
        <f t="shared" si="0"/>
        <v>9.3719999999999999</v>
      </c>
      <c r="M25" s="716">
        <f t="shared" si="0"/>
        <v>2.31</v>
      </c>
      <c r="N25" s="1044">
        <f t="shared" si="0"/>
        <v>49.611382395519804</v>
      </c>
      <c r="O25" s="568">
        <f t="shared" si="0"/>
        <v>9.0816000000000017</v>
      </c>
      <c r="P25" s="716">
        <f t="shared" si="0"/>
        <v>2.2968000000000002</v>
      </c>
      <c r="Q25" s="1044">
        <f t="shared" si="0"/>
        <v>49.169503204491917</v>
      </c>
      <c r="R25" s="568">
        <f t="shared" si="0"/>
        <v>9.0023999999999997</v>
      </c>
      <c r="S25" s="716">
        <f t="shared" si="0"/>
        <v>2.2703999999999995</v>
      </c>
      <c r="T25" s="1044">
        <f t="shared" si="0"/>
        <v>49.470097061549751</v>
      </c>
      <c r="U25" s="568">
        <f t="shared" si="0"/>
        <v>9.0551999999999992</v>
      </c>
      <c r="V25" s="716">
        <f t="shared" si="0"/>
        <v>2.2968000000000002</v>
      </c>
      <c r="W25" s="1044">
        <f t="shared" si="0"/>
        <v>51.109909350708179</v>
      </c>
      <c r="X25" s="568">
        <f t="shared" si="0"/>
        <v>9.3719999999999999</v>
      </c>
      <c r="Y25" s="716">
        <f t="shared" si="0"/>
        <v>2.3099999999999996</v>
      </c>
      <c r="Z25" s="1044">
        <f t="shared" si="0"/>
        <v>57.291583325242541</v>
      </c>
      <c r="AA25" s="568">
        <f t="shared" si="0"/>
        <v>10.56</v>
      </c>
      <c r="AB25" s="716">
        <f t="shared" si="0"/>
        <v>2.3759999999999999</v>
      </c>
      <c r="AC25" s="1044">
        <f t="shared" si="0"/>
        <v>63.075912480443151</v>
      </c>
      <c r="AD25" s="568">
        <f t="shared" si="0"/>
        <v>11.6556</v>
      </c>
      <c r="AE25" s="716">
        <f t="shared" si="0"/>
        <v>2.4947999999999997</v>
      </c>
      <c r="AF25" s="1044">
        <f t="shared" si="0"/>
        <v>65.500867970372582</v>
      </c>
      <c r="AG25" s="568">
        <f t="shared" si="0"/>
        <v>12.117599999999999</v>
      </c>
      <c r="AH25" s="716">
        <f t="shared" si="0"/>
        <v>2.5211999999999999</v>
      </c>
      <c r="AI25" s="1044">
        <f t="shared" si="0"/>
        <v>66.452722592932332</v>
      </c>
      <c r="AJ25" s="568">
        <f t="shared" si="0"/>
        <v>12.302400000000002</v>
      </c>
      <c r="AK25" s="716">
        <f t="shared" si="0"/>
        <v>2.5212000000000003</v>
      </c>
      <c r="AL25" s="1044">
        <f t="shared" si="0"/>
        <v>67.114877428796902</v>
      </c>
      <c r="AM25" s="568">
        <f t="shared" si="0"/>
        <v>12.421199999999999</v>
      </c>
      <c r="AN25" s="716">
        <f t="shared" si="0"/>
        <v>2.5608</v>
      </c>
      <c r="AO25" s="1044">
        <f t="shared" si="0"/>
        <v>68.182463311544453</v>
      </c>
      <c r="AP25" s="568">
        <f t="shared" si="0"/>
        <v>12.619199999999999</v>
      </c>
      <c r="AQ25" s="716">
        <f t="shared" si="0"/>
        <v>2.6003999999999996</v>
      </c>
      <c r="AR25" s="1044">
        <f t="shared" si="0"/>
        <v>68.308084062239686</v>
      </c>
      <c r="AS25" s="568">
        <f t="shared" si="0"/>
        <v>12.645599999999998</v>
      </c>
      <c r="AT25" s="716">
        <f t="shared" si="0"/>
        <v>2.6004</v>
      </c>
      <c r="AU25" s="1044">
        <f t="shared" si="0"/>
        <v>67.240640594663319</v>
      </c>
      <c r="AV25" s="568">
        <f t="shared" si="0"/>
        <v>12.447600000000001</v>
      </c>
      <c r="AW25" s="716">
        <f t="shared" si="0"/>
        <v>2.5608</v>
      </c>
      <c r="AX25" s="1044">
        <f t="shared" si="0"/>
        <v>66.438482627963282</v>
      </c>
      <c r="AY25" s="568">
        <f t="shared" si="0"/>
        <v>12.289199999999999</v>
      </c>
      <c r="AZ25" s="716">
        <f t="shared" si="0"/>
        <v>2.5739999999999998</v>
      </c>
      <c r="BA25" s="1044">
        <f t="shared" si="0"/>
        <v>67.19997416957483</v>
      </c>
      <c r="BB25" s="568">
        <f t="shared" si="0"/>
        <v>12.526800000000001</v>
      </c>
      <c r="BC25" s="716">
        <f t="shared" si="0"/>
        <v>2.508</v>
      </c>
      <c r="BD25" s="1044">
        <f t="shared" si="0"/>
        <v>69.580931032160763</v>
      </c>
      <c r="BE25" s="568">
        <f t="shared" si="0"/>
        <v>12.909600000000001</v>
      </c>
      <c r="BF25" s="716">
        <f t="shared" si="0"/>
        <v>2.508</v>
      </c>
      <c r="BG25" s="1044">
        <f t="shared" si="0"/>
        <v>70.557037817522669</v>
      </c>
      <c r="BH25" s="568">
        <f t="shared" si="0"/>
        <v>13.0944</v>
      </c>
      <c r="BI25" s="716">
        <f t="shared" si="0"/>
        <v>2.5212000000000003</v>
      </c>
      <c r="BJ25" s="1044">
        <f t="shared" si="0"/>
        <v>72.048269380008179</v>
      </c>
      <c r="BK25" s="568">
        <f t="shared" si="0"/>
        <v>13.371600000000001</v>
      </c>
      <c r="BL25" s="716">
        <f t="shared" si="0"/>
        <v>2.5872000000000002</v>
      </c>
      <c r="BM25" s="1044">
        <f t="shared" si="0"/>
        <v>72.327741509542818</v>
      </c>
      <c r="BN25" s="568">
        <f t="shared" si="0"/>
        <v>13.424399999999999</v>
      </c>
      <c r="BO25" s="716">
        <f t="shared" si="0"/>
        <v>2.5872000000000002</v>
      </c>
      <c r="BP25" s="1044">
        <f t="shared" si="0"/>
        <v>70.511577079856735</v>
      </c>
      <c r="BQ25" s="568">
        <f t="shared" si="0"/>
        <v>13.081200000000001</v>
      </c>
      <c r="BR25" s="716">
        <f t="shared" si="0"/>
        <v>2.5476000000000001</v>
      </c>
      <c r="BS25" s="1044">
        <f t="shared" si="0"/>
        <v>68.161114668364803</v>
      </c>
      <c r="BT25" s="568">
        <f t="shared" si="0"/>
        <v>12.632400000000001</v>
      </c>
      <c r="BU25" s="716">
        <f t="shared" si="0"/>
        <v>2.5212000000000003</v>
      </c>
      <c r="BV25" s="1044">
        <f t="shared" si="0"/>
        <v>63.900119963970852</v>
      </c>
      <c r="BW25" s="568">
        <f>BW7+BW14</f>
        <v>11.814</v>
      </c>
      <c r="BX25" s="716">
        <f>BX7+BX14</f>
        <v>2.4948000000000001</v>
      </c>
      <c r="BY25" s="1044">
        <f>BY7+BY14</f>
        <v>58.4318728482042</v>
      </c>
      <c r="BZ25" s="568">
        <f>BZ7+BZ14</f>
        <v>10.7712</v>
      </c>
      <c r="CA25" s="716">
        <f>CA7+CA14</f>
        <v>2.4156</v>
      </c>
      <c r="CB25" s="986"/>
      <c r="CC25" s="1037"/>
    </row>
    <row r="26" spans="1:85" ht="13.5" thickBot="1" x14ac:dyDescent="0.25">
      <c r="A26" s="2319"/>
      <c r="B26" s="2274"/>
      <c r="C26" s="2275"/>
      <c r="D26" s="2279" t="s">
        <v>34</v>
      </c>
      <c r="E26" s="2280"/>
      <c r="F26" s="2280"/>
      <c r="G26" s="2281"/>
      <c r="H26" s="935">
        <f t="shared" ref="H26:BS26" si="1">SUM(H8:H9,H15:H16)</f>
        <v>571.51956786139976</v>
      </c>
      <c r="I26" s="820">
        <f t="shared" si="1"/>
        <v>9.8727599999999995</v>
      </c>
      <c r="J26" s="936">
        <f t="shared" si="1"/>
        <v>2.0028119999999996</v>
      </c>
      <c r="K26" s="935">
        <f t="shared" si="1"/>
        <v>543.5199605664925</v>
      </c>
      <c r="L26" s="820">
        <f t="shared" si="1"/>
        <v>9.3658760000000001</v>
      </c>
      <c r="M26" s="936">
        <f t="shared" si="1"/>
        <v>2.0147439999999999</v>
      </c>
      <c r="N26" s="935">
        <f t="shared" si="1"/>
        <v>526.49888470930364</v>
      </c>
      <c r="O26" s="820">
        <f t="shared" si="1"/>
        <v>9.0597160000000017</v>
      </c>
      <c r="P26" s="936">
        <f t="shared" si="1"/>
        <v>2.0104800000000003</v>
      </c>
      <c r="Q26" s="935">
        <f t="shared" si="1"/>
        <v>523.42225140158689</v>
      </c>
      <c r="R26" s="820">
        <f t="shared" si="1"/>
        <v>9.0061479999999996</v>
      </c>
      <c r="S26" s="936">
        <f t="shared" si="1"/>
        <v>2.0025160000000004</v>
      </c>
      <c r="T26" s="935">
        <f t="shared" si="1"/>
        <v>525.65701654085524</v>
      </c>
      <c r="U26" s="820">
        <f t="shared" si="1"/>
        <v>9.0445519999999995</v>
      </c>
      <c r="V26" s="936">
        <f t="shared" si="1"/>
        <v>2.01058</v>
      </c>
      <c r="W26" s="935">
        <f t="shared" si="1"/>
        <v>543.86151518925215</v>
      </c>
      <c r="X26" s="820">
        <f t="shared" si="1"/>
        <v>9.3723200000000002</v>
      </c>
      <c r="Y26" s="936">
        <f t="shared" si="1"/>
        <v>2.0172119999999998</v>
      </c>
      <c r="Z26" s="935">
        <f t="shared" si="1"/>
        <v>609.41127746680559</v>
      </c>
      <c r="AA26" s="820">
        <f t="shared" si="1"/>
        <v>10.550816000000001</v>
      </c>
      <c r="AB26" s="936">
        <f t="shared" si="1"/>
        <v>2.0264799999999998</v>
      </c>
      <c r="AC26" s="935">
        <f t="shared" si="1"/>
        <v>671.05524436916505</v>
      </c>
      <c r="AD26" s="820">
        <f t="shared" si="1"/>
        <v>11.654164000000002</v>
      </c>
      <c r="AE26" s="936">
        <f t="shared" si="1"/>
        <v>2.048044</v>
      </c>
      <c r="AF26" s="935">
        <f t="shared" si="1"/>
        <v>697.39372428582305</v>
      </c>
      <c r="AG26" s="820">
        <f t="shared" si="1"/>
        <v>12.123200000000001</v>
      </c>
      <c r="AH26" s="936">
        <f t="shared" si="1"/>
        <v>2.0562560000000003</v>
      </c>
      <c r="AI26" s="935">
        <f t="shared" si="1"/>
        <v>707.24889981701574</v>
      </c>
      <c r="AJ26" s="820">
        <f t="shared" si="1"/>
        <v>12.298124000000001</v>
      </c>
      <c r="AK26" s="936">
        <f t="shared" si="1"/>
        <v>2.0566840000000002</v>
      </c>
      <c r="AL26" s="935">
        <f t="shared" si="1"/>
        <v>714.81190147210964</v>
      </c>
      <c r="AM26" s="820">
        <f t="shared" si="1"/>
        <v>12.426775999999998</v>
      </c>
      <c r="AN26" s="936">
        <f t="shared" si="1"/>
        <v>2.09694</v>
      </c>
      <c r="AO26" s="935">
        <f t="shared" si="1"/>
        <v>725.30301259925682</v>
      </c>
      <c r="AP26" s="820">
        <f t="shared" si="1"/>
        <v>12.614087999999999</v>
      </c>
      <c r="AQ26" s="936">
        <f t="shared" si="1"/>
        <v>2.106052</v>
      </c>
      <c r="AR26" s="935">
        <f t="shared" si="1"/>
        <v>727.26683781496115</v>
      </c>
      <c r="AS26" s="820">
        <f t="shared" si="1"/>
        <v>12.650320000000001</v>
      </c>
      <c r="AT26" s="936">
        <f t="shared" si="1"/>
        <v>2.1063520000000002</v>
      </c>
      <c r="AU26" s="935">
        <f t="shared" si="1"/>
        <v>715.56798654649515</v>
      </c>
      <c r="AV26" s="820">
        <f t="shared" si="1"/>
        <v>12.444492</v>
      </c>
      <c r="AW26" s="936">
        <f t="shared" si="1"/>
        <v>2.0815200000000003</v>
      </c>
      <c r="AX26" s="935">
        <f t="shared" si="1"/>
        <v>706.51446095517656</v>
      </c>
      <c r="AY26" s="820">
        <f t="shared" si="1"/>
        <v>12.282556000000001</v>
      </c>
      <c r="AZ26" s="936">
        <f t="shared" si="1"/>
        <v>2.0844880000000003</v>
      </c>
      <c r="BA26" s="935">
        <f t="shared" si="1"/>
        <v>720.36696662006659</v>
      </c>
      <c r="BB26" s="820">
        <f t="shared" si="1"/>
        <v>12.540796</v>
      </c>
      <c r="BC26" s="936">
        <f t="shared" si="1"/>
        <v>2.0130559999999997</v>
      </c>
      <c r="BD26" s="935">
        <f t="shared" si="1"/>
        <v>740.7489555598853</v>
      </c>
      <c r="BE26" s="820">
        <f t="shared" si="1"/>
        <v>12.912732</v>
      </c>
      <c r="BF26" s="936">
        <f t="shared" si="1"/>
        <v>1.9602720000000002</v>
      </c>
      <c r="BG26" s="935">
        <f t="shared" si="1"/>
        <v>751.25785737330852</v>
      </c>
      <c r="BH26" s="820">
        <f t="shared" si="1"/>
        <v>13.096439999999998</v>
      </c>
      <c r="BI26" s="936">
        <f t="shared" si="1"/>
        <v>1.9829439999999998</v>
      </c>
      <c r="BJ26" s="935">
        <f t="shared" si="1"/>
        <v>765.64665504662685</v>
      </c>
      <c r="BK26" s="820">
        <f t="shared" si="1"/>
        <v>13.354212</v>
      </c>
      <c r="BL26" s="936">
        <f t="shared" si="1"/>
        <v>1.9899079999999998</v>
      </c>
      <c r="BM26" s="935">
        <f t="shared" si="1"/>
        <v>768.3720568897287</v>
      </c>
      <c r="BN26" s="820">
        <f t="shared" si="1"/>
        <v>13.401916</v>
      </c>
      <c r="BO26" s="936">
        <f t="shared" si="1"/>
        <v>1.9966120000000003</v>
      </c>
      <c r="BP26" s="935">
        <f t="shared" si="1"/>
        <v>749.3753831275003</v>
      </c>
      <c r="BQ26" s="820">
        <f t="shared" si="1"/>
        <v>13.067339999999998</v>
      </c>
      <c r="BR26" s="936">
        <f t="shared" si="1"/>
        <v>1.9605439999999998</v>
      </c>
      <c r="BS26" s="935">
        <f t="shared" si="1"/>
        <v>724.19699887173522</v>
      </c>
      <c r="BT26" s="820">
        <f t="shared" ref="BT26:CA26" si="2">SUM(BT8:BT9,BT15:BT16)</f>
        <v>12.613084000000001</v>
      </c>
      <c r="BU26" s="936">
        <f t="shared" si="2"/>
        <v>1.9874079999999998</v>
      </c>
      <c r="BV26" s="935">
        <f t="shared" si="2"/>
        <v>678.47942168439408</v>
      </c>
      <c r="BW26" s="820">
        <f t="shared" si="2"/>
        <v>11.787988</v>
      </c>
      <c r="BX26" s="936">
        <f t="shared" si="2"/>
        <v>2.0263439999999999</v>
      </c>
      <c r="BY26" s="935">
        <f t="shared" si="2"/>
        <v>620.46777625410471</v>
      </c>
      <c r="BZ26" s="820">
        <f t="shared" si="2"/>
        <v>10.749844000000001</v>
      </c>
      <c r="CA26" s="936">
        <f t="shared" si="2"/>
        <v>2.0206439999999999</v>
      </c>
      <c r="CB26" s="986"/>
      <c r="CC26" s="1037"/>
    </row>
    <row r="27" spans="1:85" s="473" customFormat="1" ht="15.75" customHeight="1" x14ac:dyDescent="0.2">
      <c r="A27" s="738" t="s">
        <v>250</v>
      </c>
      <c r="B27" s="739"/>
      <c r="C27" s="822">
        <f>(I8+L8+O8+R8+U8+X8+AA8+AD8+AG8+AJ8+AM8+AP8+AS8+AV8+AY8+BB8+BE8+BH8+BK8+BN8+BQ8+BT8+BW8+BZ8)/SQRT((I8+L8+O8+R8+U8+X8+AA8+AD8+AG8+AJ8+AM8+AP8+AS8+AV8+AY8+BB8+BE8+BH8+BK8+BN8+BQ8+BT8+BW8+BZ8)^2+(J8+M8+P8+S8+V8+Y8+AB8+AE8+AH8+AK8+AN8+AQ8+AT8+AW8+BC8+AZ8+BF8+BI8+BL8+BO8+BR8+BU8+BX8+CA8)^2)</f>
        <v>0.98988464866032611</v>
      </c>
      <c r="D27" s="741" t="s">
        <v>216</v>
      </c>
      <c r="E27" s="2282">
        <f>(J8+M8+P8+S8+V8+Y8+AB8+AE8+AH8+AK8+AN8+AQ8+AT8+AW8+BC8+AZ8+BF8+BI8+BL8+BO8+BR8+BU8+BX8+CA8)/(I8+L8+O8+R8+U8+X8+AA8+AD8+AG8+AJ8+AM8+AP8+AS8+AV8+AY8+BB8+BE8+BH8+BK8+BN8+BQ8+BT8+BW8+BZ8)</f>
        <v>0.14332430600646048</v>
      </c>
      <c r="F27" s="2282"/>
      <c r="G27" s="825"/>
      <c r="H27" s="738"/>
      <c r="I27" s="824"/>
      <c r="J27" s="939"/>
      <c r="K27" s="738"/>
      <c r="L27" s="824"/>
      <c r="M27" s="939"/>
      <c r="N27" s="738"/>
      <c r="O27" s="824"/>
      <c r="P27" s="939"/>
      <c r="Q27" s="738"/>
      <c r="R27" s="824"/>
      <c r="S27" s="939"/>
      <c r="T27" s="738"/>
      <c r="U27" s="824"/>
      <c r="V27" s="939"/>
      <c r="W27" s="738"/>
      <c r="X27" s="824"/>
      <c r="Y27" s="939"/>
      <c r="Z27" s="738"/>
      <c r="AA27" s="824"/>
      <c r="AB27" s="939"/>
      <c r="AC27" s="738"/>
      <c r="AD27" s="824"/>
      <c r="AE27" s="939"/>
      <c r="AF27" s="738"/>
      <c r="AG27" s="824"/>
      <c r="AH27" s="939"/>
      <c r="AI27" s="738"/>
      <c r="AJ27" s="824"/>
      <c r="AK27" s="939"/>
      <c r="AL27" s="738"/>
      <c r="AM27" s="824"/>
      <c r="AN27" s="939"/>
      <c r="AO27" s="738"/>
      <c r="AP27" s="824"/>
      <c r="AQ27" s="939"/>
      <c r="AR27" s="738"/>
      <c r="AS27" s="824"/>
      <c r="AT27" s="939"/>
      <c r="AU27" s="738"/>
      <c r="AV27" s="824"/>
      <c r="AW27" s="939"/>
      <c r="AX27" s="738"/>
      <c r="AY27" s="824"/>
      <c r="AZ27" s="939"/>
      <c r="BA27" s="738"/>
      <c r="BB27" s="824"/>
      <c r="BC27" s="939"/>
      <c r="BD27" s="738"/>
      <c r="BE27" s="824"/>
      <c r="BF27" s="939"/>
      <c r="BG27" s="738"/>
      <c r="BH27" s="824"/>
      <c r="BI27" s="939"/>
      <c r="BJ27" s="738"/>
      <c r="BK27" s="824"/>
      <c r="BL27" s="939"/>
      <c r="BM27" s="738"/>
      <c r="BN27" s="824"/>
      <c r="BO27" s="939"/>
      <c r="BP27" s="738"/>
      <c r="BQ27" s="824"/>
      <c r="BR27" s="939"/>
      <c r="BS27" s="738"/>
      <c r="BT27" s="824"/>
      <c r="BU27" s="939"/>
      <c r="BV27" s="738"/>
      <c r="BW27" s="824"/>
      <c r="BX27" s="939"/>
      <c r="BY27" s="738"/>
      <c r="BZ27" s="824"/>
      <c r="CA27" s="939"/>
      <c r="CB27" s="986"/>
    </row>
    <row r="28" spans="1:85" s="473" customFormat="1" ht="15.75" customHeight="1" thickBot="1" x14ac:dyDescent="0.25">
      <c r="A28" s="743" t="s">
        <v>251</v>
      </c>
      <c r="B28" s="828"/>
      <c r="C28" s="829">
        <f>(I15+L15+O15+R15+U15+X15+AA15+AD15+AG15+AJ15+AM15+AP15+AS15+AV15+AY15+BB15+BE15+BH15+BK15+BN15+BQ15+BT15+BW15+BZ15)/SQRT((I15+L15+O15+R15+U15+X15+AA15+AD15+AG15+AJ15+AM15+AP15+AS15+AV15+AY15+BB15+BE15+BH15+BK15+BN15+BQ15+BT15+BW15+BZ15)^2+(J15+M15+P15+S15+V15+Y15+AB15+AE15+AH15+AK15+AN15+AQ15+AT15+AW15+BC15+AZ15+BF15+BI15+BL15+BO15+BR15+BU15+BX15+CA15)^2)</f>
        <v>0.97374115370494096</v>
      </c>
      <c r="D28" s="746" t="s">
        <v>216</v>
      </c>
      <c r="E28" s="2283">
        <f>(J15+M15+P15+S15+V15+Y15+AB15+AE15+AH15+AK15+AN15+AQ15+AT15+AW15+BC15+AZ15+BF15+BI15+BL15+BO15+BR15+BU15+BX15+CA15)/(I15+L15+O15+R15+U15+X15+AA15+AD15+AG15+AJ15+AM15+AP15+AS15+AV15+AY15+BB15+BE15+BH15+BK15+BN15+BQ15+BT15+BW15+BZ15)</f>
        <v>0.23379724733797239</v>
      </c>
      <c r="F28" s="2283"/>
      <c r="G28" s="828"/>
      <c r="H28" s="743"/>
      <c r="I28" s="1045"/>
      <c r="J28" s="1046"/>
      <c r="K28" s="743"/>
      <c r="L28" s="1045"/>
      <c r="M28" s="1046"/>
      <c r="N28" s="743"/>
      <c r="O28" s="1045"/>
      <c r="P28" s="1046"/>
      <c r="Q28" s="743"/>
      <c r="R28" s="1045"/>
      <c r="S28" s="1046"/>
      <c r="T28" s="743"/>
      <c r="U28" s="1045"/>
      <c r="V28" s="1046"/>
      <c r="W28" s="743"/>
      <c r="X28" s="1045"/>
      <c r="Y28" s="1046"/>
      <c r="Z28" s="743"/>
      <c r="AA28" s="1045"/>
      <c r="AB28" s="1046"/>
      <c r="AC28" s="743"/>
      <c r="AD28" s="1045"/>
      <c r="AE28" s="1046"/>
      <c r="AF28" s="743"/>
      <c r="AG28" s="1045"/>
      <c r="AH28" s="1046"/>
      <c r="AI28" s="743"/>
      <c r="AJ28" s="1045"/>
      <c r="AK28" s="1046"/>
      <c r="AL28" s="743"/>
      <c r="AM28" s="1045"/>
      <c r="AN28" s="1046"/>
      <c r="AO28" s="743"/>
      <c r="AP28" s="1045"/>
      <c r="AQ28" s="1046"/>
      <c r="AR28" s="743"/>
      <c r="AS28" s="1045"/>
      <c r="AT28" s="1046"/>
      <c r="AU28" s="743"/>
      <c r="AV28" s="1045"/>
      <c r="AW28" s="1046"/>
      <c r="AX28" s="743"/>
      <c r="AY28" s="1045"/>
      <c r="AZ28" s="1046"/>
      <c r="BA28" s="743"/>
      <c r="BB28" s="1045"/>
      <c r="BC28" s="1046"/>
      <c r="BD28" s="743"/>
      <c r="BE28" s="1045"/>
      <c r="BF28" s="1046"/>
      <c r="BG28" s="743"/>
      <c r="BH28" s="1045"/>
      <c r="BI28" s="1046"/>
      <c r="BJ28" s="743"/>
      <c r="BK28" s="1045"/>
      <c r="BL28" s="1046"/>
      <c r="BM28" s="743"/>
      <c r="BN28" s="1045"/>
      <c r="BO28" s="1046"/>
      <c r="BP28" s="743"/>
      <c r="BQ28" s="1045"/>
      <c r="BR28" s="1046"/>
      <c r="BS28" s="743"/>
      <c r="BT28" s="1045"/>
      <c r="BU28" s="1046"/>
      <c r="BV28" s="743"/>
      <c r="BW28" s="1045"/>
      <c r="BX28" s="1046"/>
      <c r="BY28" s="743"/>
      <c r="BZ28" s="1045"/>
      <c r="CA28" s="1046"/>
      <c r="CB28" s="986"/>
    </row>
    <row r="29" spans="1:85" s="516" customFormat="1" x14ac:dyDescent="0.2">
      <c r="A29" s="2284" t="s">
        <v>40</v>
      </c>
      <c r="B29" s="2285"/>
      <c r="C29" s="2286"/>
      <c r="D29" s="2287" t="s">
        <v>5</v>
      </c>
      <c r="E29" s="2288"/>
      <c r="F29" s="2289" t="s">
        <v>6</v>
      </c>
      <c r="G29" s="2290"/>
      <c r="H29" s="551" t="s">
        <v>4</v>
      </c>
      <c r="I29" s="552" t="s">
        <v>9</v>
      </c>
      <c r="J29" s="553" t="s">
        <v>10</v>
      </c>
      <c r="K29" s="551" t="s">
        <v>4</v>
      </c>
      <c r="L29" s="552" t="s">
        <v>9</v>
      </c>
      <c r="M29" s="553" t="s">
        <v>10</v>
      </c>
      <c r="N29" s="551" t="s">
        <v>4</v>
      </c>
      <c r="O29" s="552" t="s">
        <v>9</v>
      </c>
      <c r="P29" s="553" t="s">
        <v>10</v>
      </c>
      <c r="Q29" s="551" t="s">
        <v>4</v>
      </c>
      <c r="R29" s="552" t="s">
        <v>9</v>
      </c>
      <c r="S29" s="553" t="s">
        <v>10</v>
      </c>
      <c r="T29" s="551" t="s">
        <v>4</v>
      </c>
      <c r="U29" s="552" t="s">
        <v>9</v>
      </c>
      <c r="V29" s="553" t="s">
        <v>10</v>
      </c>
      <c r="W29" s="551" t="s">
        <v>4</v>
      </c>
      <c r="X29" s="552" t="s">
        <v>9</v>
      </c>
      <c r="Y29" s="553" t="s">
        <v>10</v>
      </c>
      <c r="Z29" s="551" t="s">
        <v>4</v>
      </c>
      <c r="AA29" s="552" t="s">
        <v>9</v>
      </c>
      <c r="AB29" s="553" t="s">
        <v>10</v>
      </c>
      <c r="AC29" s="551" t="s">
        <v>4</v>
      </c>
      <c r="AD29" s="552" t="s">
        <v>9</v>
      </c>
      <c r="AE29" s="553" t="s">
        <v>10</v>
      </c>
      <c r="AF29" s="551" t="s">
        <v>4</v>
      </c>
      <c r="AG29" s="552" t="s">
        <v>9</v>
      </c>
      <c r="AH29" s="553" t="s">
        <v>10</v>
      </c>
      <c r="AI29" s="551" t="s">
        <v>4</v>
      </c>
      <c r="AJ29" s="552" t="s">
        <v>9</v>
      </c>
      <c r="AK29" s="553" t="s">
        <v>10</v>
      </c>
      <c r="AL29" s="551" t="s">
        <v>4</v>
      </c>
      <c r="AM29" s="552" t="s">
        <v>9</v>
      </c>
      <c r="AN29" s="553" t="s">
        <v>10</v>
      </c>
      <c r="AO29" s="551" t="s">
        <v>4</v>
      </c>
      <c r="AP29" s="552" t="s">
        <v>9</v>
      </c>
      <c r="AQ29" s="553" t="s">
        <v>10</v>
      </c>
      <c r="AR29" s="551" t="s">
        <v>4</v>
      </c>
      <c r="AS29" s="552" t="s">
        <v>9</v>
      </c>
      <c r="AT29" s="553" t="s">
        <v>10</v>
      </c>
      <c r="AU29" s="551" t="s">
        <v>4</v>
      </c>
      <c r="AV29" s="552" t="s">
        <v>9</v>
      </c>
      <c r="AW29" s="553" t="s">
        <v>10</v>
      </c>
      <c r="AX29" s="551" t="s">
        <v>4</v>
      </c>
      <c r="AY29" s="552" t="s">
        <v>9</v>
      </c>
      <c r="AZ29" s="553" t="s">
        <v>10</v>
      </c>
      <c r="BA29" s="551" t="s">
        <v>4</v>
      </c>
      <c r="BB29" s="552" t="s">
        <v>9</v>
      </c>
      <c r="BC29" s="553" t="s">
        <v>10</v>
      </c>
      <c r="BD29" s="551" t="s">
        <v>4</v>
      </c>
      <c r="BE29" s="552" t="s">
        <v>9</v>
      </c>
      <c r="BF29" s="553" t="s">
        <v>10</v>
      </c>
      <c r="BG29" s="551" t="s">
        <v>4</v>
      </c>
      <c r="BH29" s="552" t="s">
        <v>9</v>
      </c>
      <c r="BI29" s="553" t="s">
        <v>10</v>
      </c>
      <c r="BJ29" s="551" t="s">
        <v>4</v>
      </c>
      <c r="BK29" s="552" t="s">
        <v>9</v>
      </c>
      <c r="BL29" s="553" t="s">
        <v>10</v>
      </c>
      <c r="BM29" s="551" t="s">
        <v>4</v>
      </c>
      <c r="BN29" s="552" t="s">
        <v>9</v>
      </c>
      <c r="BO29" s="553" t="s">
        <v>10</v>
      </c>
      <c r="BP29" s="551" t="s">
        <v>4</v>
      </c>
      <c r="BQ29" s="552" t="s">
        <v>9</v>
      </c>
      <c r="BR29" s="553" t="s">
        <v>10</v>
      </c>
      <c r="BS29" s="551" t="s">
        <v>4</v>
      </c>
      <c r="BT29" s="552" t="s">
        <v>9</v>
      </c>
      <c r="BU29" s="553" t="s">
        <v>10</v>
      </c>
      <c r="BV29" s="551" t="s">
        <v>4</v>
      </c>
      <c r="BW29" s="552" t="s">
        <v>9</v>
      </c>
      <c r="BX29" s="553" t="s">
        <v>10</v>
      </c>
      <c r="BY29" s="551" t="s">
        <v>4</v>
      </c>
      <c r="BZ29" s="552" t="s">
        <v>9</v>
      </c>
      <c r="CA29" s="553" t="s">
        <v>10</v>
      </c>
      <c r="CB29" s="986"/>
    </row>
    <row r="30" spans="1:85" s="516" customFormat="1" ht="13.5" thickBot="1" x14ac:dyDescent="0.25">
      <c r="A30" s="2374" t="s">
        <v>210</v>
      </c>
      <c r="B30" s="2291"/>
      <c r="C30" s="2292"/>
      <c r="D30" s="554" t="s">
        <v>7</v>
      </c>
      <c r="E30" s="554" t="s">
        <v>8</v>
      </c>
      <c r="F30" s="554" t="s">
        <v>7</v>
      </c>
      <c r="G30" s="555" t="s">
        <v>8</v>
      </c>
      <c r="H30" s="556" t="s">
        <v>30</v>
      </c>
      <c r="I30" s="557" t="s">
        <v>31</v>
      </c>
      <c r="J30" s="558" t="s">
        <v>32</v>
      </c>
      <c r="K30" s="556" t="s">
        <v>30</v>
      </c>
      <c r="L30" s="557" t="s">
        <v>31</v>
      </c>
      <c r="M30" s="558" t="s">
        <v>32</v>
      </c>
      <c r="N30" s="556" t="s">
        <v>30</v>
      </c>
      <c r="O30" s="557" t="s">
        <v>31</v>
      </c>
      <c r="P30" s="558" t="s">
        <v>32</v>
      </c>
      <c r="Q30" s="556" t="s">
        <v>30</v>
      </c>
      <c r="R30" s="557" t="s">
        <v>31</v>
      </c>
      <c r="S30" s="558" t="s">
        <v>32</v>
      </c>
      <c r="T30" s="556" t="s">
        <v>30</v>
      </c>
      <c r="U30" s="557" t="s">
        <v>31</v>
      </c>
      <c r="V30" s="558" t="s">
        <v>32</v>
      </c>
      <c r="W30" s="556" t="s">
        <v>30</v>
      </c>
      <c r="X30" s="557" t="s">
        <v>31</v>
      </c>
      <c r="Y30" s="558" t="s">
        <v>32</v>
      </c>
      <c r="Z30" s="556" t="s">
        <v>30</v>
      </c>
      <c r="AA30" s="557" t="s">
        <v>31</v>
      </c>
      <c r="AB30" s="558" t="s">
        <v>32</v>
      </c>
      <c r="AC30" s="556" t="s">
        <v>30</v>
      </c>
      <c r="AD30" s="557" t="s">
        <v>31</v>
      </c>
      <c r="AE30" s="558" t="s">
        <v>32</v>
      </c>
      <c r="AF30" s="556" t="s">
        <v>30</v>
      </c>
      <c r="AG30" s="557" t="s">
        <v>31</v>
      </c>
      <c r="AH30" s="558" t="s">
        <v>32</v>
      </c>
      <c r="AI30" s="556" t="s">
        <v>30</v>
      </c>
      <c r="AJ30" s="557" t="s">
        <v>31</v>
      </c>
      <c r="AK30" s="558" t="s">
        <v>32</v>
      </c>
      <c r="AL30" s="556" t="s">
        <v>30</v>
      </c>
      <c r="AM30" s="557" t="s">
        <v>31</v>
      </c>
      <c r="AN30" s="558" t="s">
        <v>32</v>
      </c>
      <c r="AO30" s="556" t="s">
        <v>30</v>
      </c>
      <c r="AP30" s="557" t="s">
        <v>31</v>
      </c>
      <c r="AQ30" s="558" t="s">
        <v>32</v>
      </c>
      <c r="AR30" s="556" t="s">
        <v>30</v>
      </c>
      <c r="AS30" s="557" t="s">
        <v>31</v>
      </c>
      <c r="AT30" s="558" t="s">
        <v>32</v>
      </c>
      <c r="AU30" s="556" t="s">
        <v>30</v>
      </c>
      <c r="AV30" s="557" t="s">
        <v>31</v>
      </c>
      <c r="AW30" s="558" t="s">
        <v>32</v>
      </c>
      <c r="AX30" s="556" t="s">
        <v>30</v>
      </c>
      <c r="AY30" s="557" t="s">
        <v>31</v>
      </c>
      <c r="AZ30" s="558" t="s">
        <v>32</v>
      </c>
      <c r="BA30" s="556" t="s">
        <v>30</v>
      </c>
      <c r="BB30" s="557" t="s">
        <v>31</v>
      </c>
      <c r="BC30" s="558" t="s">
        <v>32</v>
      </c>
      <c r="BD30" s="556" t="s">
        <v>30</v>
      </c>
      <c r="BE30" s="557" t="s">
        <v>31</v>
      </c>
      <c r="BF30" s="558" t="s">
        <v>32</v>
      </c>
      <c r="BG30" s="556" t="s">
        <v>30</v>
      </c>
      <c r="BH30" s="557" t="s">
        <v>31</v>
      </c>
      <c r="BI30" s="558" t="s">
        <v>32</v>
      </c>
      <c r="BJ30" s="556" t="s">
        <v>30</v>
      </c>
      <c r="BK30" s="557" t="s">
        <v>31</v>
      </c>
      <c r="BL30" s="558" t="s">
        <v>32</v>
      </c>
      <c r="BM30" s="556" t="s">
        <v>30</v>
      </c>
      <c r="BN30" s="557" t="s">
        <v>31</v>
      </c>
      <c r="BO30" s="558" t="s">
        <v>32</v>
      </c>
      <c r="BP30" s="556" t="s">
        <v>30</v>
      </c>
      <c r="BQ30" s="557" t="s">
        <v>31</v>
      </c>
      <c r="BR30" s="558" t="s">
        <v>32</v>
      </c>
      <c r="BS30" s="556" t="s">
        <v>30</v>
      </c>
      <c r="BT30" s="557" t="s">
        <v>31</v>
      </c>
      <c r="BU30" s="558" t="s">
        <v>32</v>
      </c>
      <c r="BV30" s="556" t="s">
        <v>30</v>
      </c>
      <c r="BW30" s="557" t="s">
        <v>31</v>
      </c>
      <c r="BX30" s="558" t="s">
        <v>32</v>
      </c>
      <c r="BY30" s="556" t="s">
        <v>30</v>
      </c>
      <c r="BZ30" s="557" t="s">
        <v>31</v>
      </c>
      <c r="CA30" s="558" t="s">
        <v>32</v>
      </c>
      <c r="CB30" s="986"/>
    </row>
    <row r="31" spans="1:85" ht="13.5" customHeight="1" x14ac:dyDescent="0.2">
      <c r="A31" s="2293" t="s">
        <v>226</v>
      </c>
      <c r="B31" s="2294"/>
      <c r="C31" s="2295"/>
      <c r="D31" s="1047"/>
      <c r="E31" s="944"/>
      <c r="F31" s="1048"/>
      <c r="G31" s="1049"/>
      <c r="H31" s="1050">
        <f>SUM(H35:H39)</f>
        <v>214.99494436585803</v>
      </c>
      <c r="I31" s="1051">
        <f>SUM(I32:I39)</f>
        <v>6.3257999999999992</v>
      </c>
      <c r="J31" s="1052">
        <f>SUM(J32:J39)</f>
        <v>1.0527</v>
      </c>
      <c r="K31" s="1050">
        <f>SUM(K35:K39)</f>
        <v>203.78396767902595</v>
      </c>
      <c r="L31" s="1051">
        <f>SUM(L32:L39)</f>
        <v>5.9793000000000003</v>
      </c>
      <c r="M31" s="1052">
        <f>SUM(M32:M39)</f>
        <v>1.0642</v>
      </c>
      <c r="N31" s="1050">
        <f>SUM(N35:N39)</f>
        <v>195.67226425301956</v>
      </c>
      <c r="O31" s="1051">
        <f>SUM(O32:O39)</f>
        <v>5.7653000000000008</v>
      </c>
      <c r="P31" s="1052">
        <f>SUM(P32:P39)</f>
        <v>1.0640000000000001</v>
      </c>
      <c r="Q31" s="1050">
        <f>SUM(Q35:Q39)</f>
        <v>195.57872037525939</v>
      </c>
      <c r="R31" s="1051">
        <f>SUM(R32:R39)</f>
        <v>5.7332999999999998</v>
      </c>
      <c r="S31" s="1052">
        <f>SUM(S32:S39)</f>
        <v>1.0629000000000002</v>
      </c>
      <c r="T31" s="1050">
        <f>SUM(T35:T39)</f>
        <v>195.99481440054583</v>
      </c>
      <c r="U31" s="1051">
        <f>SUM(U32:U39)</f>
        <v>5.7689999999999992</v>
      </c>
      <c r="V31" s="1052">
        <f>SUM(V32:V39)</f>
        <v>1.0681</v>
      </c>
      <c r="W31" s="1050">
        <f>SUM(W35:W39)</f>
        <v>207.44325562699578</v>
      </c>
      <c r="X31" s="1051">
        <f>SUM(X32:X39)</f>
        <v>6.0243999999999991</v>
      </c>
      <c r="Y31" s="1052">
        <f>SUM(Y32:Y39)</f>
        <v>1.0834999999999999</v>
      </c>
      <c r="Z31" s="1050">
        <f>SUM(Z35:Z39)</f>
        <v>239.11340647892553</v>
      </c>
      <c r="AA31" s="1051">
        <f>SUM(AA32:AA39)</f>
        <v>6.8500000000000005</v>
      </c>
      <c r="AB31" s="1052">
        <f>SUM(AB32:AB39)</f>
        <v>1.0919999999999999</v>
      </c>
      <c r="AC31" s="1050">
        <f>SUM(AC35:AC39)</f>
        <v>265.52685063452429</v>
      </c>
      <c r="AD31" s="1051">
        <f>SUM(AD32:AD39)</f>
        <v>7.6065000000000005</v>
      </c>
      <c r="AE31" s="1052">
        <f>SUM(AE32:AE39)</f>
        <v>1.1191</v>
      </c>
      <c r="AF31" s="1050">
        <f>SUM(AF35:AF39)</f>
        <v>279.40568512027119</v>
      </c>
      <c r="AG31" s="1051">
        <f>SUM(AG32:AG39)</f>
        <v>7.9068000000000005</v>
      </c>
      <c r="AH31" s="1052">
        <f>SUM(AH32:AH39)</f>
        <v>1.1040000000000001</v>
      </c>
      <c r="AI31" s="1050">
        <f>SUM(AI35:AI39)</f>
        <v>283.13570383803034</v>
      </c>
      <c r="AJ31" s="1051">
        <f>SUM(AJ32:AJ39)</f>
        <v>8.0046999999999997</v>
      </c>
      <c r="AK31" s="1052">
        <f>SUM(AK32:AK39)</f>
        <v>1.0839000000000001</v>
      </c>
      <c r="AL31" s="1050">
        <f>SUM(AL35:AL39)</f>
        <v>288.92063493638614</v>
      </c>
      <c r="AM31" s="1051">
        <f>SUM(AM32:AM39)</f>
        <v>8.0689999999999991</v>
      </c>
      <c r="AN31" s="1052">
        <f>SUM(AN32:AN39)</f>
        <v>1.1059000000000001</v>
      </c>
      <c r="AO31" s="1050">
        <f>SUM(AO35:AO39)</f>
        <v>292.3453104903578</v>
      </c>
      <c r="AP31" s="1051">
        <f>SUM(AP32:AP39)</f>
        <v>8.1669999999999998</v>
      </c>
      <c r="AQ31" s="1052">
        <f>SUM(AQ32:AQ39)</f>
        <v>1.1193</v>
      </c>
      <c r="AR31" s="1050">
        <f>SUM(AR35:AR39)</f>
        <v>296.39105389276574</v>
      </c>
      <c r="AS31" s="1051">
        <f>SUM(AS32:AS39)</f>
        <v>8.2715999999999994</v>
      </c>
      <c r="AT31" s="1052">
        <f>SUM(AT32:AT39)</f>
        <v>1.1480000000000001</v>
      </c>
      <c r="AU31" s="1050">
        <f>SUM(AU35:AU39)</f>
        <v>290.60316573661362</v>
      </c>
      <c r="AV31" s="1051">
        <f>SUM(AV32:AV39)</f>
        <v>8.1507000000000005</v>
      </c>
      <c r="AW31" s="1052">
        <f>SUM(AW32:AW39)</f>
        <v>1.1275999999999999</v>
      </c>
      <c r="AX31" s="1050">
        <f>SUM(AX35:AX39)</f>
        <v>289.56109532897301</v>
      </c>
      <c r="AY31" s="1051">
        <f>SUM(AY32:AY39)</f>
        <v>8.0274999999999999</v>
      </c>
      <c r="AZ31" s="1052">
        <f>SUM(AZ32:AZ39)</f>
        <v>1.135</v>
      </c>
      <c r="BA31" s="1050">
        <f>SUM(BA35:BA39)</f>
        <v>296.85572579951071</v>
      </c>
      <c r="BB31" s="1051">
        <f>SUM(BB32:BB39)</f>
        <v>8.2355</v>
      </c>
      <c r="BC31" s="1052">
        <f>SUM(BC32:BC39)</f>
        <v>1.0771999999999999</v>
      </c>
      <c r="BD31" s="1050">
        <f>SUM(BD35:BD39)</f>
        <v>305.71331750144157</v>
      </c>
      <c r="BE31" s="1051">
        <f>SUM(BE32:BE39)</f>
        <v>8.5038999999999998</v>
      </c>
      <c r="BF31" s="1052">
        <f>SUM(BF32:BF39)</f>
        <v>1.04</v>
      </c>
      <c r="BG31" s="1050">
        <f>SUM(BG35:BG39)</f>
        <v>309.15155020331963</v>
      </c>
      <c r="BH31" s="1051">
        <f>SUM(BH32:BH39)</f>
        <v>8.5905999999999985</v>
      </c>
      <c r="BI31" s="1052">
        <f>SUM(BI32:BI39)</f>
        <v>1.0427999999999999</v>
      </c>
      <c r="BJ31" s="1050">
        <f>SUM(BJ35:BJ39)</f>
        <v>314.42854470180816</v>
      </c>
      <c r="BK31" s="1051">
        <f>SUM(BK32:BK39)</f>
        <v>8.7969000000000008</v>
      </c>
      <c r="BL31" s="1052">
        <f>SUM(BL32:BL39)</f>
        <v>1.0765</v>
      </c>
      <c r="BM31" s="1050">
        <f>SUM(BM35:BM39)</f>
        <v>311.91112095441974</v>
      </c>
      <c r="BN31" s="1051">
        <f>SUM(BN32:BN39)</f>
        <v>8.8015000000000008</v>
      </c>
      <c r="BO31" s="1052">
        <f>SUM(BO32:BO39)</f>
        <v>1.0773000000000001</v>
      </c>
      <c r="BP31" s="1050">
        <f>SUM(BP35:BP39)</f>
        <v>299.84341164100908</v>
      </c>
      <c r="BQ31" s="1051">
        <f>SUM(BQ32:BQ39)</f>
        <v>8.575899999999999</v>
      </c>
      <c r="BR31" s="1052">
        <f>SUM(BR32:BR39)</f>
        <v>1.0424</v>
      </c>
      <c r="BS31" s="1050">
        <f>SUM(BS35:BS39)</f>
        <v>287.06879891157263</v>
      </c>
      <c r="BT31" s="1051">
        <f>SUM(BT32:BT39)</f>
        <v>8.2599</v>
      </c>
      <c r="BU31" s="1052">
        <f>SUM(BU32:BU39)</f>
        <v>1.0536000000000001</v>
      </c>
      <c r="BV31" s="1050">
        <f>SUM(BV35:BV39)</f>
        <v>265.79783068014615</v>
      </c>
      <c r="BW31" s="1051">
        <f>SUM(BW32:BW39)</f>
        <v>7.6753</v>
      </c>
      <c r="BX31" s="1052">
        <f>SUM(BX32:BX39)</f>
        <v>1.0662</v>
      </c>
      <c r="BY31" s="1050">
        <f>SUM(BY35:BY39)</f>
        <v>237.60697010396959</v>
      </c>
      <c r="BZ31" s="1051">
        <f>SUM(BZ32:BZ39)</f>
        <v>6.9509000000000007</v>
      </c>
      <c r="CA31" s="1052">
        <f>SUM(CA32:CA39)</f>
        <v>1.0729000000000002</v>
      </c>
      <c r="CB31" s="618">
        <f t="shared" ref="CB31:CC48" si="3">SUM(BZ31,BW31,BT31,BQ31,BN31,BK31,BH31,BE31,BB31,AY31,AV31,AS31,AP31,AM31,AJ31,AG31,AD31,AA31,X31,U31,R31,O31,L31,I31)</f>
        <v>181.04130000000001</v>
      </c>
      <c r="CC31" s="618">
        <f t="shared" si="3"/>
        <v>25.979099999999999</v>
      </c>
    </row>
    <row r="32" spans="1:85" x14ac:dyDescent="0.2">
      <c r="A32" s="2296" t="s">
        <v>252</v>
      </c>
      <c r="B32" s="2297"/>
      <c r="C32" s="2298"/>
      <c r="D32" s="948"/>
      <c r="E32" s="854"/>
      <c r="F32" s="853"/>
      <c r="G32" s="960"/>
      <c r="H32" s="575">
        <f>SQRT(I32^2+J32^2)*1000/(1.73*I11)</f>
        <v>19.570109770666143</v>
      </c>
      <c r="I32" s="576">
        <v>0.3448</v>
      </c>
      <c r="J32" s="577">
        <v>1.9199999999999998E-2</v>
      </c>
      <c r="K32" s="575">
        <f>SQRT(L32^2+M32^2)*1000/(1.73*L11)</f>
        <v>18.185352936762175</v>
      </c>
      <c r="L32" s="576">
        <v>0.32</v>
      </c>
      <c r="M32" s="577">
        <v>2.4E-2</v>
      </c>
      <c r="N32" s="575">
        <f>SQRT(O32^2+P32^2)*1000/(1.73*O11)</f>
        <v>17.18738758904442</v>
      </c>
      <c r="O32" s="576">
        <v>0.3024</v>
      </c>
      <c r="P32" s="577">
        <v>2.3200000000000002E-2</v>
      </c>
      <c r="Q32" s="575">
        <f>SQRT(R32^2+S32^2)*1000/(1.73*R11)</f>
        <v>16.770479658530107</v>
      </c>
      <c r="R32" s="576">
        <v>0.29520000000000002</v>
      </c>
      <c r="S32" s="577">
        <v>2.0799999999999996E-2</v>
      </c>
      <c r="T32" s="575">
        <f>SQRT(U32^2+V32^2)*1000/(1.73*U11)</f>
        <v>19.083409207500466</v>
      </c>
      <c r="U32" s="576">
        <v>0.33600000000000002</v>
      </c>
      <c r="V32" s="577">
        <v>2.24E-2</v>
      </c>
      <c r="W32" s="575">
        <f>SQRT(X32^2+Y32^2)*1000/(1.73*X11)</f>
        <v>20.293138695556074</v>
      </c>
      <c r="X32" s="576">
        <v>0.35680000000000001</v>
      </c>
      <c r="Y32" s="577">
        <v>3.04E-2</v>
      </c>
      <c r="Z32" s="575">
        <f>SQRT(AA32^2+AB32^2)*1000/(1.73*AA11)</f>
        <v>21.95149987839892</v>
      </c>
      <c r="AA32" s="576">
        <v>0.38639999999999997</v>
      </c>
      <c r="AB32" s="577">
        <v>2.7199999999999998E-2</v>
      </c>
      <c r="AC32" s="575">
        <f>SQRT(AD32^2+AE32^2)*1000/(1.73*AD11)</f>
        <v>25.511632993170636</v>
      </c>
      <c r="AD32" s="576">
        <v>0.44880000000000003</v>
      </c>
      <c r="AE32" s="577">
        <v>3.5200000000000002E-2</v>
      </c>
      <c r="AF32" s="575">
        <f>SQRT(AG32^2+AH32^2)*1000/(1.73*AG11)</f>
        <v>28.410806538846778</v>
      </c>
      <c r="AG32" s="576">
        <v>0.50080000000000002</v>
      </c>
      <c r="AH32" s="577">
        <v>2.3199999999999998E-2</v>
      </c>
      <c r="AI32" s="575">
        <f>SQRT(AJ32^2+AK32^2)*1000/(1.73*AJ11)</f>
        <v>28.102868432723483</v>
      </c>
      <c r="AJ32" s="576">
        <v>0.49520000000000003</v>
      </c>
      <c r="AK32" s="577">
        <v>2.64E-2</v>
      </c>
      <c r="AL32" s="575">
        <f>SQRT(AM32^2+AN32^2)*1000/(1.73*AM11)</f>
        <v>27.437115888607657</v>
      </c>
      <c r="AM32" s="576">
        <v>0.48320000000000002</v>
      </c>
      <c r="AN32" s="577">
        <v>3.04E-2</v>
      </c>
      <c r="AO32" s="575">
        <f>SQRT(AP32^2+AQ32^2)*1000/(1.73*AP11)</f>
        <v>28.673396245196258</v>
      </c>
      <c r="AP32" s="576">
        <v>0.50480000000000003</v>
      </c>
      <c r="AQ32" s="577">
        <v>3.44E-2</v>
      </c>
      <c r="AR32" s="575">
        <f>SQRT(AS32^2+AT32^2)*1000/(1.73*AS11)</f>
        <v>26.471480552392599</v>
      </c>
      <c r="AS32" s="576">
        <v>0.46560000000000001</v>
      </c>
      <c r="AT32" s="577">
        <v>3.7600000000000001E-2</v>
      </c>
      <c r="AU32" s="575">
        <f>SQRT(AV32^2+AW32^2)*1000/(1.73*AV11)</f>
        <v>27.549776342708558</v>
      </c>
      <c r="AV32" s="576">
        <v>0.48399999999999999</v>
      </c>
      <c r="AW32" s="577">
        <v>4.5600000000000002E-2</v>
      </c>
      <c r="AX32" s="575">
        <f>SQRT(AY32^2+AZ32^2)*1000/(1.73*AY11)</f>
        <v>24.770957502871983</v>
      </c>
      <c r="AY32" s="576">
        <v>0.43519999999999998</v>
      </c>
      <c r="AZ32" s="577">
        <v>4.0799999999999996E-2</v>
      </c>
      <c r="BA32" s="575">
        <f>SQRT(BB32^2+BC32^2)*1000/(1.73*BB11)</f>
        <v>25.359231229631167</v>
      </c>
      <c r="BB32" s="576">
        <v>0.44639999999999996</v>
      </c>
      <c r="BC32" s="577">
        <v>3.1200000000000002E-2</v>
      </c>
      <c r="BD32" s="575">
        <f>SQRT(BE32^2+BF32^2)*1000/(1.73*BE11)</f>
        <v>26.589199213736066</v>
      </c>
      <c r="BE32" s="576">
        <v>0.46879999999999994</v>
      </c>
      <c r="BF32" s="577">
        <v>1.9199999999999998E-2</v>
      </c>
      <c r="BG32" s="575">
        <f>SQRT(BH32^2+BI32^2)*1000/(1.73*BH11)</f>
        <v>26.470704098696856</v>
      </c>
      <c r="BH32" s="576">
        <v>0.46639999999999998</v>
      </c>
      <c r="BI32" s="577">
        <v>2.5600000000000001E-2</v>
      </c>
      <c r="BJ32" s="575">
        <f>SQRT(BK32^2+BL32^2)*1000/(1.73*BK11)</f>
        <v>27.016408178009549</v>
      </c>
      <c r="BK32" s="576">
        <v>0.47599999999999998</v>
      </c>
      <c r="BL32" s="577">
        <v>2.64E-2</v>
      </c>
      <c r="BM32" s="575">
        <f>SQRT(BN32^2+BO32^2)*1000/(1.73*BN11)</f>
        <v>26.790078689544213</v>
      </c>
      <c r="BN32" s="576">
        <v>0.47199999999999998</v>
      </c>
      <c r="BO32" s="577">
        <v>2.64E-2</v>
      </c>
      <c r="BP32" s="575">
        <f>SQRT(BQ32^2+BR32^2)*1000/(1.73*BQ11)</f>
        <v>25.872710185776143</v>
      </c>
      <c r="BQ32" s="576">
        <v>0.45600000000000002</v>
      </c>
      <c r="BR32" s="577">
        <v>2.24E-2</v>
      </c>
      <c r="BS32" s="575">
        <f>SQRT(BT32^2+BU32^2)*1000/(1.73*BT11)</f>
        <v>24.891929340702433</v>
      </c>
      <c r="BT32" s="576">
        <v>0.43839999999999996</v>
      </c>
      <c r="BU32" s="577">
        <v>2.7199999999999998E-2</v>
      </c>
      <c r="BV32" s="575">
        <f>SQRT(BW32^2+BX32^2)*1000/(1.73*BW11)</f>
        <v>21.912842735947535</v>
      </c>
      <c r="BW32" s="576">
        <v>0.3856</v>
      </c>
      <c r="BX32" s="577">
        <v>2.8799999999999999E-2</v>
      </c>
      <c r="BY32" s="575">
        <f>SQRT(BZ32^2+CA32^2)*1000/(1.73*BZ11)</f>
        <v>20.446509865179067</v>
      </c>
      <c r="BZ32" s="576">
        <v>0.36</v>
      </c>
      <c r="CA32" s="577">
        <v>2.4E-2</v>
      </c>
      <c r="CB32" s="618">
        <f t="shared" si="3"/>
        <v>10.1288</v>
      </c>
      <c r="CC32" s="618">
        <f t="shared" si="3"/>
        <v>0.67199999999999993</v>
      </c>
      <c r="CE32" s="2296" t="s">
        <v>253</v>
      </c>
      <c r="CF32" s="2297"/>
      <c r="CG32" s="2298"/>
    </row>
    <row r="33" spans="1:85" x14ac:dyDescent="0.2">
      <c r="A33" s="2296" t="s">
        <v>254</v>
      </c>
      <c r="B33" s="2297"/>
      <c r="C33" s="2298"/>
      <c r="D33" s="948"/>
      <c r="E33" s="854"/>
      <c r="F33" s="853"/>
      <c r="G33" s="960"/>
      <c r="H33" s="575">
        <f>SQRT(I33^2+J33^2)*1000/(1.73*I11)</f>
        <v>67.323657824673063</v>
      </c>
      <c r="I33" s="576">
        <v>1.1744000000000001</v>
      </c>
      <c r="J33" s="577">
        <v>0.1792</v>
      </c>
      <c r="K33" s="575">
        <f>SQRT(L33^2+M33^2)*1000/(1.73*L11)</f>
        <v>66.241311247465788</v>
      </c>
      <c r="L33" s="576">
        <v>1.1552</v>
      </c>
      <c r="M33" s="577">
        <v>0.17839999999999998</v>
      </c>
      <c r="N33" s="575">
        <f>SQRT(O33^2+P33^2)*1000/(1.73*O11)</f>
        <v>65.355486730840894</v>
      </c>
      <c r="O33" s="576">
        <v>1.1399999999999999</v>
      </c>
      <c r="P33" s="577">
        <v>0.1744</v>
      </c>
      <c r="Q33" s="575">
        <f>SQRT(R33^2+S33^2)*1000/(1.73*R11)</f>
        <v>65.920757595084297</v>
      </c>
      <c r="R33" s="576">
        <v>1.1496</v>
      </c>
      <c r="S33" s="577">
        <v>0.17760000000000001</v>
      </c>
      <c r="T33" s="575">
        <f>SQRT(U33^2+V33^2)*1000/(1.73*U11)</f>
        <v>64.959097861165915</v>
      </c>
      <c r="U33" s="576">
        <v>1.1328</v>
      </c>
      <c r="V33" s="577">
        <v>0.17519999999999999</v>
      </c>
      <c r="W33" s="575">
        <f>SQRT(X33^2+Y33^2)*1000/(1.73*X11)</f>
        <v>65.190044842931457</v>
      </c>
      <c r="X33" s="576">
        <v>1.1368</v>
      </c>
      <c r="Y33" s="577">
        <v>0.17599999999999999</v>
      </c>
      <c r="Z33" s="575">
        <f>SQRT(AA33^2+AB33^2)*1000/(1.73*AA11)</f>
        <v>66.572486595903584</v>
      </c>
      <c r="AA33" s="576">
        <v>1.1616</v>
      </c>
      <c r="AB33" s="577">
        <v>0.17519999999999999</v>
      </c>
      <c r="AC33" s="575">
        <f>SQRT(AD33^2+AE33^2)*1000/(1.73*AD11)</f>
        <v>67.962509489717448</v>
      </c>
      <c r="AD33" s="576">
        <v>1.1864000000000001</v>
      </c>
      <c r="AE33" s="577">
        <v>0.17519999999999999</v>
      </c>
      <c r="AF33" s="575">
        <f>SQRT(AG33^2+AH33^2)*1000/(1.73*AG11)</f>
        <v>67.783116021305204</v>
      </c>
      <c r="AG33" s="576">
        <v>1.1831999999999998</v>
      </c>
      <c r="AH33" s="577">
        <v>0.17519999999999999</v>
      </c>
      <c r="AI33" s="575">
        <f>SQRT(AJ33^2+AK33^2)*1000/(1.73*AJ11)</f>
        <v>68.034070987045027</v>
      </c>
      <c r="AJ33" s="576">
        <v>1.1872</v>
      </c>
      <c r="AK33" s="577">
        <v>0.17839999999999998</v>
      </c>
      <c r="AL33" s="575">
        <f>SQRT(AM33^2+AN33^2)*1000/(1.73*AM11)</f>
        <v>68.238230762006253</v>
      </c>
      <c r="AM33" s="576">
        <v>1.1911999999999998</v>
      </c>
      <c r="AN33" s="577">
        <v>0.17599999999999999</v>
      </c>
      <c r="AO33" s="575">
        <f>SQRT(AP33^2+AQ33^2)*1000/(1.73*AP11)</f>
        <v>68.308209577567993</v>
      </c>
      <c r="AP33" s="576">
        <v>1.1927999999999999</v>
      </c>
      <c r="AQ33" s="577">
        <v>0.1736</v>
      </c>
      <c r="AR33" s="575">
        <f>SQRT(AS33^2+AT33^2)*1000/(1.73*AS11)</f>
        <v>68.442802574953987</v>
      </c>
      <c r="AS33" s="576">
        <v>1.1951999999999998</v>
      </c>
      <c r="AT33" s="577">
        <v>0.1736</v>
      </c>
      <c r="AU33" s="575">
        <f>SQRT(AV33^2+AW33^2)*1000/(1.73*AV11)</f>
        <v>68.705528896665228</v>
      </c>
      <c r="AV33" s="576">
        <v>1.2</v>
      </c>
      <c r="AW33" s="577">
        <v>0.17280000000000001</v>
      </c>
      <c r="AX33" s="575">
        <f>SQRT(AY33^2+AZ33^2)*1000/(1.73*AY11)</f>
        <v>68.062644320705957</v>
      </c>
      <c r="AY33" s="576">
        <v>1.1848000000000001</v>
      </c>
      <c r="AZ33" s="577">
        <v>0.1968</v>
      </c>
      <c r="BA33" s="575">
        <f>SQRT(BB33^2+BC33^2)*1000/(1.73*BB11)</f>
        <v>66.789916594134041</v>
      </c>
      <c r="BB33" s="576">
        <v>1.1656</v>
      </c>
      <c r="BC33" s="577">
        <v>0.1744</v>
      </c>
      <c r="BD33" s="575">
        <f>SQRT(BE33^2+BF33^2)*1000/(1.73*BE11)</f>
        <v>67.654061631806613</v>
      </c>
      <c r="BE33" s="576">
        <v>1.1816</v>
      </c>
      <c r="BF33" s="577">
        <v>0.17039999999999997</v>
      </c>
      <c r="BG33" s="575">
        <f>SQRT(BH33^2+BI33^2)*1000/(1.73*BH11)</f>
        <v>67.102658382687835</v>
      </c>
      <c r="BH33" s="576">
        <v>1.1719999999999999</v>
      </c>
      <c r="BI33" s="577">
        <v>0.16880000000000001</v>
      </c>
      <c r="BJ33" s="575">
        <f>SQRT(BK33^2+BL33^2)*1000/(1.73*BK11)</f>
        <v>68.320815901777991</v>
      </c>
      <c r="BK33" s="576">
        <v>1.1936</v>
      </c>
      <c r="BL33" s="577">
        <v>0.1696</v>
      </c>
      <c r="BM33" s="575">
        <f>SQRT(BN33^2+BO33^2)*1000/(1.73*BN11)</f>
        <v>69.224947135734084</v>
      </c>
      <c r="BN33" s="576">
        <v>1.2096</v>
      </c>
      <c r="BO33" s="577">
        <v>0.17039999999999997</v>
      </c>
      <c r="BP33" s="575">
        <f>SQRT(BQ33^2+BR33^2)*1000/(1.73*BQ11)</f>
        <v>71.020067344489277</v>
      </c>
      <c r="BQ33" s="576">
        <v>1.2407999999999999</v>
      </c>
      <c r="BR33" s="577">
        <v>0.17599999999999999</v>
      </c>
      <c r="BS33" s="575">
        <f>SQRT(BT33^2+BU33^2)*1000/(1.73*BT11)</f>
        <v>69.288931356665458</v>
      </c>
      <c r="BT33" s="576">
        <v>1.2104000000000001</v>
      </c>
      <c r="BU33" s="577">
        <v>0.17280000000000001</v>
      </c>
      <c r="BV33" s="575">
        <f>SQRT(BW33^2+BX33^2)*1000/(1.73*BW11)</f>
        <v>69.341119603139347</v>
      </c>
      <c r="BW33" s="576">
        <v>1.2104000000000001</v>
      </c>
      <c r="BX33" s="577">
        <v>0.1792</v>
      </c>
      <c r="BY33" s="575">
        <f>SQRT(BZ33^2+CA33^2)*1000/(1.73*BZ11)</f>
        <v>67.97581489733669</v>
      </c>
      <c r="BZ33" s="576">
        <v>1.1864000000000001</v>
      </c>
      <c r="CA33" s="577">
        <v>0.17680000000000001</v>
      </c>
      <c r="CB33" s="618">
        <f t="shared" si="3"/>
        <v>28.3416</v>
      </c>
      <c r="CC33" s="618">
        <f t="shared" si="3"/>
        <v>4.2159999999999993</v>
      </c>
      <c r="CE33" s="2296" t="s">
        <v>255</v>
      </c>
      <c r="CF33" s="2297"/>
      <c r="CG33" s="2298"/>
    </row>
    <row r="34" spans="1:85" x14ac:dyDescent="0.2">
      <c r="A34" s="2296" t="s">
        <v>256</v>
      </c>
      <c r="B34" s="2297"/>
      <c r="C34" s="2298"/>
      <c r="D34" s="948"/>
      <c r="E34" s="854"/>
      <c r="F34" s="853"/>
      <c r="G34" s="960"/>
      <c r="H34" s="575">
        <f>SQRT(I34^2+J34^2)*1000/(1.73*I11)</f>
        <v>62.4812074635269</v>
      </c>
      <c r="I34" s="576">
        <v>1.1015999999999999</v>
      </c>
      <c r="J34" s="577">
        <v>4.5600000000000002E-2</v>
      </c>
      <c r="K34" s="575">
        <f>SQRT(L34^2+M34^2)*1000/(1.73*L11)</f>
        <v>56.913240026957027</v>
      </c>
      <c r="L34" s="576">
        <v>1.0032000000000001</v>
      </c>
      <c r="M34" s="577">
        <v>4.6800000000000001E-2</v>
      </c>
      <c r="N34" s="575">
        <f>SQRT(O34^2+P34^2)*1000/(1.73*O11)</f>
        <v>54.912484216755061</v>
      </c>
      <c r="O34" s="576">
        <v>0.96720000000000006</v>
      </c>
      <c r="P34" s="577">
        <v>5.8799999999999998E-2</v>
      </c>
      <c r="Q34" s="575">
        <f>SQRT(R34^2+S34^2)*1000/(1.73*R11)</f>
        <v>53.120023854229032</v>
      </c>
      <c r="R34" s="576">
        <v>0.93600000000000005</v>
      </c>
      <c r="S34" s="577">
        <v>5.04E-2</v>
      </c>
      <c r="T34" s="575">
        <f>SQRT(U34^2+V34^2)*1000/(1.73*U11)</f>
        <v>53.355647730758577</v>
      </c>
      <c r="U34" s="576">
        <v>0.93959999999999988</v>
      </c>
      <c r="V34" s="577">
        <v>0.06</v>
      </c>
      <c r="W34" s="575">
        <f>SQRT(X34^2+Y34^2)*1000/(1.73*X11)</f>
        <v>54.821328062551579</v>
      </c>
      <c r="X34" s="576">
        <v>0.96599999999999997</v>
      </c>
      <c r="Y34" s="577">
        <v>5.1599999999999993E-2</v>
      </c>
      <c r="Z34" s="575">
        <f>SQRT(AA34^2+AB34^2)*1000/(1.73*AA11)</f>
        <v>66.133994260730148</v>
      </c>
      <c r="AA34" s="576">
        <v>1.1652</v>
      </c>
      <c r="AB34" s="577">
        <v>6.4799999999999996E-2</v>
      </c>
      <c r="AC34" s="575">
        <f>SQRT(AD34^2+AE34^2)*1000/(1.73*AD11)</f>
        <v>77.163148385361438</v>
      </c>
      <c r="AD34" s="576">
        <v>1.3584000000000001</v>
      </c>
      <c r="AE34" s="577">
        <v>9.3599999999999989E-2</v>
      </c>
      <c r="AF34" s="575">
        <f>SQRT(AG34^2+AH34^2)*1000/(1.73*AG11)</f>
        <v>77.435508917927564</v>
      </c>
      <c r="AG34" s="576">
        <v>1.3644000000000001</v>
      </c>
      <c r="AH34" s="577">
        <v>7.4399999999999994E-2</v>
      </c>
      <c r="AI34" s="575">
        <f>SQRT(AJ34^2+AK34^2)*1000/(1.73*AJ11)</f>
        <v>79.208261508864965</v>
      </c>
      <c r="AJ34" s="576">
        <v>1.3968000000000003</v>
      </c>
      <c r="AK34" s="577">
        <v>5.0400000000000007E-2</v>
      </c>
      <c r="AL34" s="575">
        <f>SQRT(AM34^2+AN34^2)*1000/(1.73*AM11)</f>
        <v>77.645205335846697</v>
      </c>
      <c r="AM34" s="576">
        <v>1.3691999999999998</v>
      </c>
      <c r="AN34" s="577">
        <v>5.0400000000000007E-2</v>
      </c>
      <c r="AO34" s="575">
        <f>SQRT(AP34^2+AQ34^2)*1000/(1.73*AP11)</f>
        <v>78.531169577115676</v>
      </c>
      <c r="AP34" s="576">
        <v>1.3848</v>
      </c>
      <c r="AQ34" s="577">
        <v>5.1600000000000007E-2</v>
      </c>
      <c r="AR34" s="575">
        <f>SQRT(AS34^2+AT34^2)*1000/(1.73*AS11)</f>
        <v>82.576808893150471</v>
      </c>
      <c r="AS34" s="576">
        <v>1.4556</v>
      </c>
      <c r="AT34" s="577">
        <v>6.720000000000001E-2</v>
      </c>
      <c r="AU34" s="575">
        <f>SQRT(AV34^2+AW34^2)*1000/(1.73*AV11)</f>
        <v>80.101907684992383</v>
      </c>
      <c r="AV34" s="576">
        <v>1.4124000000000001</v>
      </c>
      <c r="AW34" s="577">
        <v>5.5200000000000006E-2</v>
      </c>
      <c r="AX34" s="575">
        <f>SQRT(AY34^2+AZ34^2)*1000/(1.73*AY11)</f>
        <v>77.769378159841622</v>
      </c>
      <c r="AY34" s="576">
        <v>1.3715999999999999</v>
      </c>
      <c r="AZ34" s="577">
        <v>4.4400000000000002E-2</v>
      </c>
      <c r="BA34" s="575">
        <f>SQRT(BB34^2+BC34^2)*1000/(1.73*BB11)</f>
        <v>82.389321781432542</v>
      </c>
      <c r="BB34" s="576">
        <v>1.4532</v>
      </c>
      <c r="BC34" s="577">
        <v>4.3200000000000002E-2</v>
      </c>
      <c r="BD34" s="575">
        <f>SQRT(BE34^2+BF34^2)*1000/(1.73*BE11)</f>
        <v>86.262016469997789</v>
      </c>
      <c r="BE34" s="576">
        <v>1.5215999999999998</v>
      </c>
      <c r="BF34" s="577">
        <v>4.200000000000001E-2</v>
      </c>
      <c r="BG34" s="575">
        <f>SQRT(BH34^2+BI34^2)*1000/(1.73*BH11)</f>
        <v>88.365800814906834</v>
      </c>
      <c r="BH34" s="576">
        <v>1.5588</v>
      </c>
      <c r="BI34" s="577">
        <v>3.9599999999999996E-2</v>
      </c>
      <c r="BJ34" s="575">
        <f>SQRT(BK34^2+BL34^2)*1000/(1.73*BK11)</f>
        <v>93.143498399634638</v>
      </c>
      <c r="BK34" s="576">
        <v>1.6428000000000003</v>
      </c>
      <c r="BL34" s="577">
        <v>5.16E-2</v>
      </c>
      <c r="BM34" s="575">
        <f>SQRT(BN34^2+BO34^2)*1000/(1.73*BN11)</f>
        <v>95.203405033487741</v>
      </c>
      <c r="BN34" s="576">
        <v>1.6787999999999998</v>
      </c>
      <c r="BO34" s="577">
        <v>6.2400000000000004E-2</v>
      </c>
      <c r="BP34" s="575">
        <f>SQRT(BQ34^2+BR34^2)*1000/(1.73*BQ11)</f>
        <v>93.602175725434634</v>
      </c>
      <c r="BQ34" s="576">
        <v>1.6512</v>
      </c>
      <c r="BR34" s="577">
        <v>4.0799999999999996E-2</v>
      </c>
      <c r="BS34" s="575">
        <f>SQRT(BT34^2+BU34^2)*1000/(1.73*BT11)</f>
        <v>91.426724973789192</v>
      </c>
      <c r="BT34" s="576">
        <v>1.6128</v>
      </c>
      <c r="BU34" s="577">
        <v>4.0800000000000003E-2</v>
      </c>
      <c r="BV34" s="575">
        <f>SQRT(BW34^2+BX34^2)*1000/(1.73*BW11)</f>
        <v>82.929212306354003</v>
      </c>
      <c r="BW34" s="576">
        <v>1.4627999999999999</v>
      </c>
      <c r="BX34" s="577">
        <v>4.0799999999999996E-2</v>
      </c>
      <c r="BY34" s="575">
        <f>SQRT(BZ34^2+CA34^2)*1000/(1.73*BZ11)</f>
        <v>73.322464788813974</v>
      </c>
      <c r="BZ34" s="576">
        <v>1.2924</v>
      </c>
      <c r="CA34" s="577">
        <v>6.1199999999999997E-2</v>
      </c>
      <c r="CB34" s="618">
        <f t="shared" si="3"/>
        <v>32.066399999999994</v>
      </c>
      <c r="CC34" s="618">
        <f t="shared" si="3"/>
        <v>1.2876000000000001</v>
      </c>
      <c r="CE34" s="2296" t="s">
        <v>257</v>
      </c>
      <c r="CF34" s="2297"/>
      <c r="CG34" s="2298"/>
    </row>
    <row r="35" spans="1:85" x14ac:dyDescent="0.2">
      <c r="A35" s="2296" t="s">
        <v>258</v>
      </c>
      <c r="B35" s="2297"/>
      <c r="C35" s="2298"/>
      <c r="D35" s="949"/>
      <c r="E35" s="950"/>
      <c r="F35" s="951"/>
      <c r="G35" s="958"/>
      <c r="H35" s="575">
        <f>SQRT(I35^2+J35^2)*1000/(1.73*I11)</f>
        <v>48.30385768823033</v>
      </c>
      <c r="I35" s="576">
        <v>0.82640000000000013</v>
      </c>
      <c r="J35" s="577">
        <v>0.20880000000000001</v>
      </c>
      <c r="K35" s="575">
        <f>SQRT(L35^2+M35^2)*1000/(1.73*L11)</f>
        <v>45.364991331244426</v>
      </c>
      <c r="L35" s="576">
        <v>0.77279999999999993</v>
      </c>
      <c r="M35" s="577">
        <v>0.20880000000000001</v>
      </c>
      <c r="N35" s="575">
        <f>SQRT(O35^2+P35^2)*1000/(1.73*O11)</f>
        <v>43.898083813745181</v>
      </c>
      <c r="O35" s="576">
        <v>0.74639999999999995</v>
      </c>
      <c r="P35" s="577">
        <v>0.2072</v>
      </c>
      <c r="Q35" s="575">
        <f>SQRT(R35^2+S35^2)*1000/(1.73*R11)</f>
        <v>44.490286111153672</v>
      </c>
      <c r="R35" s="576">
        <v>0.75679999999999992</v>
      </c>
      <c r="S35" s="577">
        <v>0.20880000000000001</v>
      </c>
      <c r="T35" s="575">
        <f>SQRT(U35^2+V35^2)*1000/(1.73*U11)</f>
        <v>44.577699059020439</v>
      </c>
      <c r="U35" s="576">
        <v>0.75839999999999996</v>
      </c>
      <c r="V35" s="577">
        <v>0.20880000000000001</v>
      </c>
      <c r="W35" s="575">
        <f>SQRT(X35^2+Y35^2)*1000/(1.73*X11)</f>
        <v>46.407313949555117</v>
      </c>
      <c r="X35" s="576">
        <v>0.79120000000000001</v>
      </c>
      <c r="Y35" s="577">
        <v>0.2112</v>
      </c>
      <c r="Z35" s="575">
        <f>SQRT(AA35^2+AB35^2)*1000/(1.73*AA11)</f>
        <v>54.155638037007037</v>
      </c>
      <c r="AA35" s="576">
        <v>0.93200000000000005</v>
      </c>
      <c r="AB35" s="577">
        <v>0.2112</v>
      </c>
      <c r="AC35" s="575">
        <f>SQRT(AD35^2+AE35^2)*1000/(1.73*AD11)</f>
        <v>59.188279717400334</v>
      </c>
      <c r="AD35" s="576">
        <v>1.024</v>
      </c>
      <c r="AE35" s="577">
        <v>0.20560000000000003</v>
      </c>
      <c r="AF35" s="575">
        <f>SQRT(AG35^2+AH35^2)*1000/(1.73*AG11)</f>
        <v>58.717033047832601</v>
      </c>
      <c r="AG35" s="576">
        <v>1.016</v>
      </c>
      <c r="AH35" s="577">
        <v>0.20319999999999999</v>
      </c>
      <c r="AI35" s="575">
        <f>SQRT(AJ35^2+AK35^2)*1000/(1.73*AJ11)</f>
        <v>57.143735067493424</v>
      </c>
      <c r="AJ35" s="576">
        <v>0.98799999999999999</v>
      </c>
      <c r="AK35" s="577">
        <v>0.2016</v>
      </c>
      <c r="AL35" s="575">
        <f>SQRT(AM35^2+AN35^2)*1000/(1.73*AM11)</f>
        <v>57.777736492740601</v>
      </c>
      <c r="AM35" s="576">
        <v>0.99759999999999993</v>
      </c>
      <c r="AN35" s="577">
        <v>0.2104</v>
      </c>
      <c r="AO35" s="575">
        <f>SQRT(AP35^2+AQ35^2)*1000/(1.73*AP11)</f>
        <v>58.464545625339142</v>
      </c>
      <c r="AP35" s="576">
        <v>1.0087999999999999</v>
      </c>
      <c r="AQ35" s="577">
        <v>0.216</v>
      </c>
      <c r="AR35" s="575">
        <f>SQRT(AS35^2+AT35^2)*1000/(1.73*AS11)</f>
        <v>59.949589972799323</v>
      </c>
      <c r="AS35" s="576">
        <v>1.0344</v>
      </c>
      <c r="AT35" s="577">
        <v>0.22160000000000002</v>
      </c>
      <c r="AU35" s="575">
        <f>SQRT(AV35^2+AW35^2)*1000/(1.73*AV11)</f>
        <v>59.319536438949065</v>
      </c>
      <c r="AV35" s="576">
        <v>1.0232000000000001</v>
      </c>
      <c r="AW35" s="577">
        <v>0.22080000000000002</v>
      </c>
      <c r="AX35" s="575">
        <f>SQRT(AY35^2+AZ35^2)*1000/(1.73*AY11)</f>
        <v>58.366396619192194</v>
      </c>
      <c r="AY35" s="576">
        <v>1.0072000000000001</v>
      </c>
      <c r="AZ35" s="577">
        <v>0.2152</v>
      </c>
      <c r="BA35" s="575">
        <f>SQRT(BB35^2+BC35^2)*1000/(1.73*BB11)</f>
        <v>59.501113381165403</v>
      </c>
      <c r="BB35" s="576">
        <v>1.028</v>
      </c>
      <c r="BC35" s="577">
        <v>0.21360000000000001</v>
      </c>
      <c r="BD35" s="575">
        <f>SQRT(BE35^2+BF35^2)*1000/(1.73*BE11)</f>
        <v>62.319859966598479</v>
      </c>
      <c r="BE35" s="576">
        <v>1.08</v>
      </c>
      <c r="BF35" s="577">
        <v>0.2072</v>
      </c>
      <c r="BG35" s="575">
        <f>SQRT(BH35^2+BI35^2)*1000/(1.73*BH11)</f>
        <v>63.979580899853566</v>
      </c>
      <c r="BH35" s="576">
        <v>1.1104000000000001</v>
      </c>
      <c r="BI35" s="577">
        <v>0.20399999999999999</v>
      </c>
      <c r="BJ35" s="575">
        <f>SQRT(BK35^2+BL35^2)*1000/(1.73*BK11)</f>
        <v>64.892634002314793</v>
      </c>
      <c r="BK35" s="576">
        <v>1.1255999999999999</v>
      </c>
      <c r="BL35" s="577">
        <v>0.21039999999999998</v>
      </c>
      <c r="BM35" s="575">
        <f>SQRT(BN35^2+BO35^2)*1000/(1.73*BN11)</f>
        <v>64.020928752389324</v>
      </c>
      <c r="BN35" s="576">
        <v>1.1104000000000001</v>
      </c>
      <c r="BO35" s="577">
        <v>0.20799999999999999</v>
      </c>
      <c r="BP35" s="575">
        <f>SQRT(BQ35^2+BR35^2)*1000/(1.73*BQ11)</f>
        <v>63.976368297767415</v>
      </c>
      <c r="BQ35" s="576">
        <v>1.1095999999999999</v>
      </c>
      <c r="BR35" s="577">
        <v>0.20799999999999999</v>
      </c>
      <c r="BS35" s="575">
        <f>SQRT(BT35^2+BU35^2)*1000/(1.73*BT11)</f>
        <v>62.753810866528283</v>
      </c>
      <c r="BT35" s="576">
        <v>1.0864</v>
      </c>
      <c r="BU35" s="577">
        <v>0.21440000000000001</v>
      </c>
      <c r="BV35" s="575">
        <f>SQRT(BW35^2+BX35^2)*1000/(1.73*BW11)</f>
        <v>59.237205448881589</v>
      </c>
      <c r="BW35" s="576">
        <v>1.0224000000000002</v>
      </c>
      <c r="BX35" s="577">
        <v>0.21759999999999999</v>
      </c>
      <c r="BY35" s="575">
        <f>SQRT(BZ35^2+CA35^2)*1000/(1.73*BZ11)</f>
        <v>54.264150218510729</v>
      </c>
      <c r="BZ35" s="576">
        <v>0.93359999999999987</v>
      </c>
      <c r="CA35" s="577">
        <v>0.21280000000000002</v>
      </c>
      <c r="CB35" s="618">
        <f t="shared" si="3"/>
        <v>23.289599999999997</v>
      </c>
      <c r="CC35" s="618">
        <f t="shared" si="3"/>
        <v>5.0552000000000001</v>
      </c>
      <c r="CE35" s="2296" t="s">
        <v>259</v>
      </c>
      <c r="CF35" s="2297"/>
      <c r="CG35" s="2298"/>
    </row>
    <row r="36" spans="1:85" x14ac:dyDescent="0.2">
      <c r="A36" s="2296" t="s">
        <v>260</v>
      </c>
      <c r="B36" s="2297"/>
      <c r="C36" s="2298"/>
      <c r="D36" s="948"/>
      <c r="E36" s="854"/>
      <c r="F36" s="853"/>
      <c r="G36" s="960"/>
      <c r="H36" s="575">
        <f>SQRT(I36^2+J36^2)*1000/(1.73*I11)</f>
        <v>83.412831399709987</v>
      </c>
      <c r="I36" s="576">
        <v>1.4336</v>
      </c>
      <c r="J36" s="577">
        <v>0.33360000000000001</v>
      </c>
      <c r="K36" s="575">
        <f>SQRT(L36^2+M36^2)*1000/(1.73*L11)</f>
        <v>79.851257302121525</v>
      </c>
      <c r="L36" s="576">
        <v>1.3688000000000002</v>
      </c>
      <c r="M36" s="577">
        <v>0.33439999999999998</v>
      </c>
      <c r="N36" s="575">
        <f>SQRT(O36^2+P36^2)*1000/(1.73*O11)</f>
        <v>76.914455301137451</v>
      </c>
      <c r="O36" s="576">
        <v>1.3160000000000001</v>
      </c>
      <c r="P36" s="577">
        <v>0.33200000000000002</v>
      </c>
      <c r="Q36" s="575">
        <f>SQRT(R36^2+S36^2)*1000/(1.73*R11)</f>
        <v>76.256293166619386</v>
      </c>
      <c r="R36" s="576">
        <v>1.3032000000000001</v>
      </c>
      <c r="S36" s="577">
        <v>0.33520000000000005</v>
      </c>
      <c r="T36" s="575">
        <f>SQRT(U36^2+V36^2)*1000/(1.73*U11)</f>
        <v>76.322825284603198</v>
      </c>
      <c r="U36" s="576">
        <v>1.304</v>
      </c>
      <c r="V36" s="577">
        <v>0.33679999999999999</v>
      </c>
      <c r="W36" s="575">
        <f>SQRT(X36^2+Y36^2)*1000/(1.73*X11)</f>
        <v>81.756844695868679</v>
      </c>
      <c r="X36" s="576">
        <v>1.4032</v>
      </c>
      <c r="Y36" s="577">
        <v>0.3352</v>
      </c>
      <c r="Z36" s="575">
        <f>SQRT(AA36^2+AB36^2)*1000/(1.73*AA11)</f>
        <v>92.701532134979175</v>
      </c>
      <c r="AA36" s="576">
        <v>1.6015999999999999</v>
      </c>
      <c r="AB36" s="577">
        <v>0.33279999999999993</v>
      </c>
      <c r="AC36" s="575">
        <f>SQRT(AD36^2+AE36^2)*1000/(1.73*AD11)</f>
        <v>102.20291065832973</v>
      </c>
      <c r="AD36" s="576">
        <v>1.7728000000000002</v>
      </c>
      <c r="AE36" s="577">
        <v>0.33119999999999999</v>
      </c>
      <c r="AF36" s="575">
        <f>SQRT(AG36^2+AH36^2)*1000/(1.73*AG11)</f>
        <v>107.84231236427883</v>
      </c>
      <c r="AG36" s="576">
        <v>1.8728</v>
      </c>
      <c r="AH36" s="577">
        <v>0.33760000000000001</v>
      </c>
      <c r="AI36" s="575">
        <f>SQRT(AJ36^2+AK36^2)*1000/(1.73*AJ11)</f>
        <v>112.12819569656038</v>
      </c>
      <c r="AJ36" s="576">
        <v>1.9496</v>
      </c>
      <c r="AK36" s="577">
        <v>0.33760000000000001</v>
      </c>
      <c r="AL36" s="575">
        <f>SQRT(AM36^2+AN36^2)*1000/(1.73*AM11)</f>
        <v>113.21581757557843</v>
      </c>
      <c r="AM36" s="576">
        <v>1.9687999999999999</v>
      </c>
      <c r="AN36" s="577">
        <v>0.33920000000000006</v>
      </c>
      <c r="AO36" s="575">
        <f>SQRT(AP36^2+AQ36^2)*1000/(1.73*AP11)</f>
        <v>113.10721164459218</v>
      </c>
      <c r="AP36" s="576">
        <v>1.9656</v>
      </c>
      <c r="AQ36" s="577">
        <v>0.34639999999999999</v>
      </c>
      <c r="AR36" s="575">
        <f>SQRT(AS36^2+AT36^2)*1000/(1.73*AS11)</f>
        <v>112.94190040380444</v>
      </c>
      <c r="AS36" s="576">
        <v>1.9632000000000001</v>
      </c>
      <c r="AT36" s="577">
        <v>0.34320000000000001</v>
      </c>
      <c r="AU36" s="575">
        <f>SQRT(AV36^2+AW36^2)*1000/(1.73*AV11)</f>
        <v>111.52626772701971</v>
      </c>
      <c r="AV36" s="576">
        <v>1.9384000000000001</v>
      </c>
      <c r="AW36" s="577">
        <v>0.34</v>
      </c>
      <c r="AX36" s="575">
        <f>SQRT(AY36^2+AZ36^2)*1000/(1.73*AY11)</f>
        <v>111.31873511885453</v>
      </c>
      <c r="AY36" s="576">
        <v>1.9344000000000001</v>
      </c>
      <c r="AZ36" s="577">
        <v>0.34160000000000001</v>
      </c>
      <c r="BA36" s="575">
        <f>SQRT(BB36^2+BC36^2)*1000/(1.73*BB11)</f>
        <v>114.33958517815601</v>
      </c>
      <c r="BB36" s="576">
        <v>1.9904000000000002</v>
      </c>
      <c r="BC36" s="577">
        <v>0.33039999999999997</v>
      </c>
      <c r="BD36" s="575">
        <f>SQRT(BE36^2+BF36^2)*1000/(1.73*BE11)</f>
        <v>116.3629896861498</v>
      </c>
      <c r="BE36" s="576">
        <v>2.028</v>
      </c>
      <c r="BF36" s="577">
        <v>0.3216</v>
      </c>
      <c r="BG36" s="575">
        <f>SQRT(BH36^2+BI36^2)*1000/(1.73*BH11)</f>
        <v>116.60821623121011</v>
      </c>
      <c r="BH36" s="576">
        <v>2.032</v>
      </c>
      <c r="BI36" s="577">
        <v>0.32400000000000001</v>
      </c>
      <c r="BJ36" s="575">
        <f>SQRT(BK36^2+BL36^2)*1000/(1.73*BK11)</f>
        <v>119.27847610355832</v>
      </c>
      <c r="BK36" s="576">
        <v>2.0791999999999997</v>
      </c>
      <c r="BL36" s="577">
        <v>0.32719999999999999</v>
      </c>
      <c r="BM36" s="575">
        <f>SQRT(BN36^2+BO36^2)*1000/(1.73*BN11)</f>
        <v>116.6010862222459</v>
      </c>
      <c r="BN36" s="576">
        <v>2.032</v>
      </c>
      <c r="BO36" s="577">
        <v>0.32320000000000004</v>
      </c>
      <c r="BP36" s="575">
        <f>SQRT(BQ36^2+BR36^2)*1000/(1.73*BQ11)</f>
        <v>112.23031383261812</v>
      </c>
      <c r="BQ36" s="576">
        <v>1.9536</v>
      </c>
      <c r="BR36" s="577">
        <v>0.32479999999999998</v>
      </c>
      <c r="BS36" s="575">
        <f>SQRT(BT36^2+BU36^2)*1000/(1.73*BT11)</f>
        <v>108.49087160647973</v>
      </c>
      <c r="BT36" s="576">
        <v>1.8864000000000001</v>
      </c>
      <c r="BU36" s="577">
        <v>0.32639999999999997</v>
      </c>
      <c r="BV36" s="575">
        <f>SQRT(BW36^2+BX36^2)*1000/(1.73*BW11)</f>
        <v>99.646799537006572</v>
      </c>
      <c r="BW36" s="576">
        <v>1.7272000000000001</v>
      </c>
      <c r="BX36" s="577">
        <v>0.3296</v>
      </c>
      <c r="BY36" s="575">
        <f>SQRT(BZ36^2+CA36^2)*1000/(1.73*BZ11)</f>
        <v>90.21453170143063</v>
      </c>
      <c r="BZ36" s="576">
        <v>1.5575999999999999</v>
      </c>
      <c r="CA36" s="577">
        <v>0.32880000000000004</v>
      </c>
      <c r="CB36" s="618">
        <f t="shared" si="3"/>
        <v>42.382399999999997</v>
      </c>
      <c r="CC36" s="618">
        <f t="shared" si="3"/>
        <v>7.9927999999999999</v>
      </c>
      <c r="CE36" s="2296" t="s">
        <v>261</v>
      </c>
      <c r="CF36" s="2297"/>
      <c r="CG36" s="2298"/>
    </row>
    <row r="37" spans="1:85" x14ac:dyDescent="0.2">
      <c r="A37" s="2296" t="s">
        <v>262</v>
      </c>
      <c r="B37" s="2297"/>
      <c r="C37" s="2298"/>
      <c r="D37" s="948"/>
      <c r="E37" s="854"/>
      <c r="F37" s="853"/>
      <c r="G37" s="960"/>
      <c r="H37" s="575">
        <f>SQRT(I37^2+J37^2)*1000/(1.73*I11)</f>
        <v>69.566397703988457</v>
      </c>
      <c r="I37" s="576">
        <v>1.2056</v>
      </c>
      <c r="J37" s="577">
        <v>0.23119999999999999</v>
      </c>
      <c r="K37" s="575">
        <f>SQRT(L37^2+M37^2)*1000/(1.73*L11)</f>
        <v>66.258452186069633</v>
      </c>
      <c r="L37" s="576">
        <v>1.1448</v>
      </c>
      <c r="M37" s="577">
        <v>0.23760000000000003</v>
      </c>
      <c r="N37" s="575">
        <f>SQRT(O37^2+P37^2)*1000/(1.73*O11)</f>
        <v>63.416826147011712</v>
      </c>
      <c r="O37" s="576">
        <v>1.0944</v>
      </c>
      <c r="P37" s="577">
        <v>0.2336</v>
      </c>
      <c r="Q37" s="575">
        <f>SQRT(R37^2+S37^2)*1000/(1.73*R11)</f>
        <v>63.647976407422533</v>
      </c>
      <c r="R37" s="576">
        <v>1.0984</v>
      </c>
      <c r="S37" s="577">
        <v>0.2344</v>
      </c>
      <c r="T37" s="575">
        <f>SQRT(U37^2+V37^2)*1000/(1.73*U11)</f>
        <v>63.201775759331326</v>
      </c>
      <c r="U37" s="576">
        <v>1.0911999999999997</v>
      </c>
      <c r="V37" s="577">
        <v>0.23039999999999999</v>
      </c>
      <c r="W37" s="575">
        <f>SQRT(X37^2+Y37^2)*1000/(1.73*X11)</f>
        <v>65.668158466879362</v>
      </c>
      <c r="X37" s="576">
        <v>1.1328</v>
      </c>
      <c r="Y37" s="577">
        <v>0.24399999999999999</v>
      </c>
      <c r="Z37" s="575">
        <f>SQRT(AA37^2+AB37^2)*1000/(1.73*AA11)</f>
        <v>77.174654504146659</v>
      </c>
      <c r="AA37" s="576">
        <v>1.3391999999999999</v>
      </c>
      <c r="AB37" s="577">
        <v>0.24719999999999998</v>
      </c>
      <c r="AC37" s="575">
        <f>SQRT(AD37^2+AE37^2)*1000/(1.73*AD11)</f>
        <v>86.562673658012528</v>
      </c>
      <c r="AD37" s="576">
        <v>1.508</v>
      </c>
      <c r="AE37" s="577">
        <v>0.2432</v>
      </c>
      <c r="AF37" s="575">
        <f>SQRT(AG37^2+AH37^2)*1000/(1.73*AG11)</f>
        <v>94.116183889654337</v>
      </c>
      <c r="AG37" s="576">
        <v>1.6408000000000003</v>
      </c>
      <c r="AH37" s="577">
        <v>0.25680000000000003</v>
      </c>
      <c r="AI37" s="575">
        <f>SQRT(AJ37^2+AK37^2)*1000/(1.73*AJ11)</f>
        <v>95.460139410252779</v>
      </c>
      <c r="AJ37" s="576">
        <v>1.6648000000000001</v>
      </c>
      <c r="AK37" s="577">
        <v>0.25680000000000003</v>
      </c>
      <c r="AL37" s="575">
        <f>SQRT(AM37^2+AN37^2)*1000/(1.73*AM11)</f>
        <v>99.837699924918837</v>
      </c>
      <c r="AM37" s="576">
        <v>1.7415999999999998</v>
      </c>
      <c r="AN37" s="577">
        <v>0.2656</v>
      </c>
      <c r="AO37" s="575">
        <f>SQRT(AP37^2+AQ37^2)*1000/(1.73*AP11)</f>
        <v>101.84686650439467</v>
      </c>
      <c r="AP37" s="576">
        <v>1.7784</v>
      </c>
      <c r="AQ37" s="577">
        <v>0.25919999999999999</v>
      </c>
      <c r="AR37" s="575">
        <f>SQRT(AS37^2+AT37^2)*1000/(1.73*AS11)</f>
        <v>104.07895070743606</v>
      </c>
      <c r="AS37" s="576">
        <v>1.8168000000000002</v>
      </c>
      <c r="AT37" s="577">
        <v>0.26880000000000004</v>
      </c>
      <c r="AU37" s="575">
        <f>SQRT(AV37^2+AW37^2)*1000/(1.73*AV11)</f>
        <v>101.59650779650092</v>
      </c>
      <c r="AV37" s="576">
        <v>1.7744000000000002</v>
      </c>
      <c r="AW37" s="577">
        <v>0.25600000000000001</v>
      </c>
      <c r="AX37" s="575">
        <f>SQRT(AY37^2+AZ37^2)*1000/(1.73*AY11)</f>
        <v>101.4562939444271</v>
      </c>
      <c r="AY37" s="576">
        <v>1.7712000000000001</v>
      </c>
      <c r="AZ37" s="577">
        <v>0.26079999999999998</v>
      </c>
      <c r="BA37" s="575">
        <f>SQRT(BB37^2+BC37^2)*1000/(1.73*BB11)</f>
        <v>104.59902980169947</v>
      </c>
      <c r="BB37" s="576">
        <v>1.8288</v>
      </c>
      <c r="BC37" s="577">
        <v>0.24959999999999999</v>
      </c>
      <c r="BD37" s="575">
        <f>SQRT(BE37^2+BF37^2)*1000/(1.73*BE11)</f>
        <v>107.81638912059623</v>
      </c>
      <c r="BE37" s="576">
        <v>1.8864000000000001</v>
      </c>
      <c r="BF37" s="577">
        <v>0.24719999999999998</v>
      </c>
      <c r="BG37" s="575">
        <f>SQRT(BH37^2+BI37^2)*1000/(1.73*BH11)</f>
        <v>109.54226299530278</v>
      </c>
      <c r="BH37" s="576">
        <v>1.9168000000000001</v>
      </c>
      <c r="BI37" s="577">
        <v>0.24959999999999999</v>
      </c>
      <c r="BJ37" s="575">
        <f>SQRT(BK37^2+BL37^2)*1000/(1.73*BK11)</f>
        <v>110.06312802863711</v>
      </c>
      <c r="BK37" s="576">
        <v>1.9247999999999998</v>
      </c>
      <c r="BL37" s="577">
        <v>0.25919999999999999</v>
      </c>
      <c r="BM37" s="575">
        <f>SQRT(BN37^2+BO37^2)*1000/(1.73*BN11)</f>
        <v>108.7272086111454</v>
      </c>
      <c r="BN37" s="576">
        <v>1.9024000000000001</v>
      </c>
      <c r="BO37" s="577">
        <v>0.24880000000000002</v>
      </c>
      <c r="BP37" s="575">
        <f>SQRT(BQ37^2+BR37^2)*1000/(1.73*BQ11)</f>
        <v>102.50774440782659</v>
      </c>
      <c r="BQ37" s="576">
        <v>1.7935999999999999</v>
      </c>
      <c r="BR37" s="577">
        <v>0.2344</v>
      </c>
      <c r="BS37" s="575">
        <f>SQRT(BT37^2+BU37^2)*1000/(1.73*BT11)</f>
        <v>96.589470087187763</v>
      </c>
      <c r="BT37" s="576">
        <v>1.6879999999999999</v>
      </c>
      <c r="BU37" s="577">
        <v>0.23599999999999999</v>
      </c>
      <c r="BV37" s="575">
        <f>SQRT(BW37^2+BX37^2)*1000/(1.73*BW11)</f>
        <v>88.873340032195088</v>
      </c>
      <c r="BW37" s="576">
        <v>1.5504</v>
      </c>
      <c r="BX37" s="577">
        <v>0.23599999999999999</v>
      </c>
      <c r="BY37" s="575">
        <f>SQRT(BZ37^2+CA37^2)*1000/(1.73*BZ11)</f>
        <v>77.306466269196278</v>
      </c>
      <c r="BZ37" s="576">
        <v>1.3440000000000001</v>
      </c>
      <c r="CA37" s="577">
        <v>0.2336</v>
      </c>
      <c r="CB37" s="618">
        <f t="shared" si="3"/>
        <v>37.637599999999999</v>
      </c>
      <c r="CC37" s="618">
        <f t="shared" si="3"/>
        <v>5.9200000000000008</v>
      </c>
      <c r="CE37" s="2296" t="s">
        <v>263</v>
      </c>
      <c r="CF37" s="2297"/>
      <c r="CG37" s="2298"/>
    </row>
    <row r="38" spans="1:85" ht="12.75" customHeight="1" x14ac:dyDescent="0.2">
      <c r="A38" s="2296" t="s">
        <v>264</v>
      </c>
      <c r="B38" s="2297"/>
      <c r="C38" s="2298"/>
      <c r="D38" s="948"/>
      <c r="E38" s="854"/>
      <c r="F38" s="853"/>
      <c r="G38" s="1053"/>
      <c r="H38" s="575">
        <f>SQRT(I38^2+J38^2)*1000/(1.73*I11)</f>
        <v>0</v>
      </c>
      <c r="I38" s="576">
        <v>0</v>
      </c>
      <c r="J38" s="577">
        <v>0</v>
      </c>
      <c r="K38" s="575">
        <f>SQRT(L38^2+M38^2)*1000/(1.73*L11)</f>
        <v>0</v>
      </c>
      <c r="L38" s="576">
        <v>0</v>
      </c>
      <c r="M38" s="577">
        <v>0</v>
      </c>
      <c r="N38" s="575">
        <f>SQRT(O38^2+P38^2)*1000/(1.73*O11)</f>
        <v>0</v>
      </c>
      <c r="O38" s="576">
        <v>0</v>
      </c>
      <c r="P38" s="577">
        <v>0</v>
      </c>
      <c r="Q38" s="575">
        <f>SQRT(R38^2+S38^2)*1000/(1.73*R11)</f>
        <v>0</v>
      </c>
      <c r="R38" s="576">
        <v>0</v>
      </c>
      <c r="S38" s="577">
        <v>0</v>
      </c>
      <c r="T38" s="575">
        <f>SQRT(U38^2+V38^2)*1000/(1.73*U11)</f>
        <v>0</v>
      </c>
      <c r="U38" s="576">
        <v>0</v>
      </c>
      <c r="V38" s="577">
        <v>0</v>
      </c>
      <c r="W38" s="575">
        <f>SQRT(X38^2+Y38^2)*1000/(1.73*X11)</f>
        <v>0</v>
      </c>
      <c r="X38" s="576">
        <v>0</v>
      </c>
      <c r="Y38" s="577">
        <v>0</v>
      </c>
      <c r="Z38" s="575">
        <f>SQRT(AA38^2+AB38^2)*1000/(1.73*AA11)</f>
        <v>0</v>
      </c>
      <c r="AA38" s="576">
        <v>0</v>
      </c>
      <c r="AB38" s="577">
        <v>0</v>
      </c>
      <c r="AC38" s="575">
        <f>SQRT(AD38^2+AE38^2)*1000/(1.73*AD11)</f>
        <v>0</v>
      </c>
      <c r="AD38" s="576">
        <v>0</v>
      </c>
      <c r="AE38" s="577">
        <v>0</v>
      </c>
      <c r="AF38" s="575">
        <f>SQRT(AG38^2+AH38^2)*1000/(1.73*AG11)</f>
        <v>0</v>
      </c>
      <c r="AG38" s="576">
        <v>0</v>
      </c>
      <c r="AH38" s="577">
        <v>0</v>
      </c>
      <c r="AI38" s="575">
        <f>SQRT(AJ38^2+AK38^2)*1000/(1.73*AJ11)</f>
        <v>0</v>
      </c>
      <c r="AJ38" s="576">
        <v>0</v>
      </c>
      <c r="AK38" s="577">
        <v>0</v>
      </c>
      <c r="AL38" s="575">
        <f>SQRT(AM38^2+AN38^2)*1000/(1.73*AM11)</f>
        <v>0</v>
      </c>
      <c r="AM38" s="576">
        <v>0</v>
      </c>
      <c r="AN38" s="577">
        <v>0</v>
      </c>
      <c r="AO38" s="575">
        <f>SQRT(AP38^2+AQ38^2)*1000/(1.73*AP11)</f>
        <v>0</v>
      </c>
      <c r="AP38" s="576">
        <v>0</v>
      </c>
      <c r="AQ38" s="577">
        <v>0</v>
      </c>
      <c r="AR38" s="575">
        <f>SQRT(AS38^2+AT38^2)*1000/(1.73*AS11)</f>
        <v>0</v>
      </c>
      <c r="AS38" s="576">
        <v>0</v>
      </c>
      <c r="AT38" s="577">
        <v>0</v>
      </c>
      <c r="AU38" s="575">
        <f>SQRT(AV38^2+AW38^2)*1000/(1.73*AV11)</f>
        <v>0</v>
      </c>
      <c r="AV38" s="576">
        <v>0</v>
      </c>
      <c r="AW38" s="577">
        <v>0</v>
      </c>
      <c r="AX38" s="575">
        <f>SQRT(AY38^2+AZ38^2)*1000/(1.73*AY11)</f>
        <v>0</v>
      </c>
      <c r="AY38" s="576">
        <v>0</v>
      </c>
      <c r="AZ38" s="577">
        <v>0</v>
      </c>
      <c r="BA38" s="575">
        <f>SQRT(BB38^2+BC38^2)*1000/(1.73*BB11)</f>
        <v>0</v>
      </c>
      <c r="BB38" s="576">
        <v>0</v>
      </c>
      <c r="BC38" s="577">
        <v>0</v>
      </c>
      <c r="BD38" s="575">
        <f>SQRT(BE38^2+BF38^2)*1000/(1.73*BE11)</f>
        <v>0</v>
      </c>
      <c r="BE38" s="576">
        <v>0</v>
      </c>
      <c r="BF38" s="577">
        <v>0</v>
      </c>
      <c r="BG38" s="575">
        <f>SQRT(BH38^2+BI38^2)*1000/(1.73*BH11)</f>
        <v>0</v>
      </c>
      <c r="BH38" s="576">
        <v>0</v>
      </c>
      <c r="BI38" s="577">
        <v>0</v>
      </c>
      <c r="BJ38" s="575">
        <f>SQRT(BK38^2+BL38^2)*1000/(1.73*BK11)</f>
        <v>0</v>
      </c>
      <c r="BK38" s="576">
        <v>0</v>
      </c>
      <c r="BL38" s="577">
        <v>0</v>
      </c>
      <c r="BM38" s="575">
        <f>SQRT(BN38^2+BO38^2)*1000/(1.73*BN11)</f>
        <v>0</v>
      </c>
      <c r="BN38" s="576">
        <v>0</v>
      </c>
      <c r="BO38" s="577">
        <v>0</v>
      </c>
      <c r="BP38" s="575">
        <f>SQRT(BQ38^2+BR38^2)*1000/(1.73*BQ11)</f>
        <v>0</v>
      </c>
      <c r="BQ38" s="576">
        <v>0</v>
      </c>
      <c r="BR38" s="577">
        <v>0</v>
      </c>
      <c r="BS38" s="575">
        <f>SQRT(BT38^2+BU38^2)*1000/(1.73*BT11)</f>
        <v>0</v>
      </c>
      <c r="BT38" s="576">
        <v>0</v>
      </c>
      <c r="BU38" s="577">
        <v>0</v>
      </c>
      <c r="BV38" s="575">
        <f>SQRT(BW38^2+BX38^2)*1000/(1.73*BW11)</f>
        <v>0</v>
      </c>
      <c r="BW38" s="576">
        <v>0</v>
      </c>
      <c r="BX38" s="577">
        <v>0</v>
      </c>
      <c r="BY38" s="575">
        <f>SQRT(BZ38^2+CA38^2)*1000/(1.73*BZ11)</f>
        <v>0</v>
      </c>
      <c r="BZ38" s="576">
        <v>0</v>
      </c>
      <c r="CA38" s="577">
        <v>0</v>
      </c>
      <c r="CB38" s="618">
        <f t="shared" si="3"/>
        <v>0</v>
      </c>
      <c r="CC38" s="618">
        <f t="shared" si="3"/>
        <v>0</v>
      </c>
      <c r="CE38" s="2296" t="s">
        <v>265</v>
      </c>
      <c r="CF38" s="2297"/>
      <c r="CG38" s="2298"/>
    </row>
    <row r="39" spans="1:85" x14ac:dyDescent="0.2">
      <c r="A39" s="2296" t="s">
        <v>266</v>
      </c>
      <c r="B39" s="2297"/>
      <c r="C39" s="2298"/>
      <c r="D39" s="948"/>
      <c r="E39" s="854"/>
      <c r="F39" s="853"/>
      <c r="G39" s="960"/>
      <c r="H39" s="575">
        <f>SQRT(I39^2+J39^2)*1000/(1.73*I11)</f>
        <v>13.71185757392926</v>
      </c>
      <c r="I39" s="576">
        <v>0.2394</v>
      </c>
      <c r="J39" s="577">
        <v>3.5099999999999992E-2</v>
      </c>
      <c r="K39" s="575">
        <f>SQRT(L39^2+M39^2)*1000/(1.73*L11)</f>
        <v>12.309266859590359</v>
      </c>
      <c r="L39" s="576">
        <v>0.2145</v>
      </c>
      <c r="M39" s="577">
        <v>3.4200000000000001E-2</v>
      </c>
      <c r="N39" s="575">
        <f>SQRT(O39^2+P39^2)*1000/(1.73*O11)</f>
        <v>11.442898991125229</v>
      </c>
      <c r="O39" s="576">
        <v>0.19889999999999999</v>
      </c>
      <c r="P39" s="577">
        <v>3.4799999999999998E-2</v>
      </c>
      <c r="Q39" s="575">
        <f>SQRT(R39^2+S39^2)*1000/(1.73*R11)</f>
        <v>11.184164690063799</v>
      </c>
      <c r="R39" s="576">
        <v>0.19410000000000002</v>
      </c>
      <c r="S39" s="577">
        <v>3.5700000000000003E-2</v>
      </c>
      <c r="T39" s="575">
        <f>SQRT(U39^2+V39^2)*1000/(1.73*U11)</f>
        <v>11.892514297590875</v>
      </c>
      <c r="U39" s="576">
        <v>0.20699999999999999</v>
      </c>
      <c r="V39" s="577">
        <v>3.4500000000000003E-2</v>
      </c>
      <c r="W39" s="575">
        <f>SQRT(X39^2+Y39^2)*1000/(1.73*X11)</f>
        <v>13.610938514692608</v>
      </c>
      <c r="X39" s="576">
        <v>0.23760000000000001</v>
      </c>
      <c r="Y39" s="577">
        <v>3.5099999999999999E-2</v>
      </c>
      <c r="Z39" s="575">
        <f>SQRT(AA39^2+AB39^2)*1000/(1.73*AA11)</f>
        <v>15.081581802792646</v>
      </c>
      <c r="AA39" s="576">
        <v>0.26400000000000001</v>
      </c>
      <c r="AB39" s="577">
        <v>3.3600000000000005E-2</v>
      </c>
      <c r="AC39" s="575">
        <f>SQRT(AD39^2+AE39^2)*1000/(1.73*AD11)</f>
        <v>17.572986600781704</v>
      </c>
      <c r="AD39" s="576">
        <v>0.30810000000000004</v>
      </c>
      <c r="AE39" s="577">
        <v>3.5099999999999999E-2</v>
      </c>
      <c r="AF39" s="575">
        <f>SQRT(AG39^2+AH39^2)*1000/(1.73*AG11)</f>
        <v>18.730155818505384</v>
      </c>
      <c r="AG39" s="576">
        <v>0.32880000000000004</v>
      </c>
      <c r="AH39" s="577">
        <v>3.3600000000000005E-2</v>
      </c>
      <c r="AI39" s="575">
        <f>SQRT(AJ39^2+AK39^2)*1000/(1.73*AJ11)</f>
        <v>18.403633663723749</v>
      </c>
      <c r="AJ39" s="576">
        <v>0.3231</v>
      </c>
      <c r="AK39" s="577">
        <v>3.27E-2</v>
      </c>
      <c r="AL39" s="575">
        <f>SQRT(AM39^2+AN39^2)*1000/(1.73*AM11)</f>
        <v>18.089380943148285</v>
      </c>
      <c r="AM39" s="576">
        <v>0.31739999999999996</v>
      </c>
      <c r="AN39" s="577">
        <v>3.39E-2</v>
      </c>
      <c r="AO39" s="575">
        <f>SQRT(AP39^2+AQ39^2)*1000/(1.73*AP11)</f>
        <v>18.926686716031828</v>
      </c>
      <c r="AP39" s="576">
        <v>0.33179999999999998</v>
      </c>
      <c r="AQ39" s="577">
        <v>3.8100000000000002E-2</v>
      </c>
      <c r="AR39" s="575">
        <f>SQRT(AS39^2+AT39^2)*1000/(1.73*AS11)</f>
        <v>19.42061280872587</v>
      </c>
      <c r="AS39" s="576">
        <v>0.34079999999999994</v>
      </c>
      <c r="AT39" s="577">
        <v>3.5999999999999997E-2</v>
      </c>
      <c r="AU39" s="575">
        <f>SQRT(AV39^2+AW39^2)*1000/(1.73*AV11)</f>
        <v>18.160853774143909</v>
      </c>
      <c r="AV39" s="576">
        <v>0.31830000000000003</v>
      </c>
      <c r="AW39" s="577">
        <v>3.7200000000000004E-2</v>
      </c>
      <c r="AX39" s="575">
        <f>SQRT(AY39^2+AZ39^2)*1000/(1.73*AY11)</f>
        <v>18.41966964649918</v>
      </c>
      <c r="AY39" s="576">
        <v>0.3231</v>
      </c>
      <c r="AZ39" s="577">
        <v>3.5400000000000008E-2</v>
      </c>
      <c r="BA39" s="575">
        <f>SQRT(BB39^2+BC39^2)*1000/(1.73*BB11)</f>
        <v>18.415997438489786</v>
      </c>
      <c r="BB39" s="576">
        <v>0.3231</v>
      </c>
      <c r="BC39" s="577">
        <v>3.4799999999999998E-2</v>
      </c>
      <c r="BD39" s="575">
        <f>SQRT(BE39^2+BF39^2)*1000/(1.73*BE11)</f>
        <v>19.214078728097103</v>
      </c>
      <c r="BE39" s="576">
        <v>0.33750000000000002</v>
      </c>
      <c r="BF39" s="577">
        <v>3.2400000000000005E-2</v>
      </c>
      <c r="BG39" s="575">
        <f>SQRT(BH39^2+BI39^2)*1000/(1.73*BH11)</f>
        <v>19.021490076953178</v>
      </c>
      <c r="BH39" s="576">
        <v>0.3342</v>
      </c>
      <c r="BI39" s="577">
        <v>3.1199999999999999E-2</v>
      </c>
      <c r="BJ39" s="575">
        <f>SQRT(BK39^2+BL39^2)*1000/(1.73*BK11)</f>
        <v>20.194306567297925</v>
      </c>
      <c r="BK39" s="576">
        <v>0.35489999999999999</v>
      </c>
      <c r="BL39" s="577">
        <v>3.2100000000000004E-2</v>
      </c>
      <c r="BM39" s="575">
        <f>SQRT(BN39^2+BO39^2)*1000/(1.73*BN11)</f>
        <v>22.561897368639098</v>
      </c>
      <c r="BN39" s="576">
        <v>0.39629999999999999</v>
      </c>
      <c r="BO39" s="577">
        <v>3.8100000000000002E-2</v>
      </c>
      <c r="BP39" s="575">
        <f>SQRT(BQ39^2+BR39^2)*1000/(1.73*BQ11)</f>
        <v>21.128985102796932</v>
      </c>
      <c r="BQ39" s="576">
        <v>0.37110000000000004</v>
      </c>
      <c r="BR39" s="577">
        <v>3.5999999999999997E-2</v>
      </c>
      <c r="BS39" s="575">
        <f>SQRT(BT39^2+BU39^2)*1000/(1.73*BT11)</f>
        <v>19.234646351376828</v>
      </c>
      <c r="BT39" s="576">
        <v>0.33750000000000002</v>
      </c>
      <c r="BU39" s="577">
        <v>3.5999999999999997E-2</v>
      </c>
      <c r="BV39" s="575">
        <f>SQRT(BW39^2+BX39^2)*1000/(1.73*BW11)</f>
        <v>18.040485662062927</v>
      </c>
      <c r="BW39" s="576">
        <v>0.3165</v>
      </c>
      <c r="BX39" s="577">
        <v>3.4200000000000001E-2</v>
      </c>
      <c r="BY39" s="575">
        <f>SQRT(BZ39^2+CA39^2)*1000/(1.73*BZ11)</f>
        <v>15.821821914831947</v>
      </c>
      <c r="BZ39" s="576">
        <v>0.27689999999999998</v>
      </c>
      <c r="CA39" s="577">
        <v>3.5700000000000003E-2</v>
      </c>
      <c r="CB39" s="618">
        <f t="shared" si="3"/>
        <v>7.1949000000000014</v>
      </c>
      <c r="CC39" s="618">
        <f t="shared" si="3"/>
        <v>0.8354999999999998</v>
      </c>
      <c r="CE39" s="2296" t="s">
        <v>267</v>
      </c>
      <c r="CF39" s="2297"/>
      <c r="CG39" s="2298"/>
    </row>
    <row r="40" spans="1:85" ht="12.75" customHeight="1" x14ac:dyDescent="0.2">
      <c r="A40" s="2366" t="s">
        <v>233</v>
      </c>
      <c r="B40" s="2367"/>
      <c r="C40" s="2368"/>
      <c r="D40" s="948"/>
      <c r="E40" s="854"/>
      <c r="F40" s="853"/>
      <c r="G40" s="960"/>
      <c r="H40" s="1054">
        <f>SUM(H44:H48)</f>
        <v>82.491228570045152</v>
      </c>
      <c r="I40" s="1055">
        <f>SUM(I41:I48)</f>
        <v>3.5131999999999999</v>
      </c>
      <c r="J40" s="1056">
        <f>SUM(J41:J48)</f>
        <v>0.94879999999999998</v>
      </c>
      <c r="K40" s="1054">
        <f>SUM(K44:K48)</f>
        <v>76.892888169651272</v>
      </c>
      <c r="L40" s="1055">
        <f>SUM(L41:L48)</f>
        <v>3.3532000000000002</v>
      </c>
      <c r="M40" s="1056">
        <f>SUM(M41:M48)</f>
        <v>0.94919999999999993</v>
      </c>
      <c r="N40" s="1054">
        <f>SUM(N44:N48)</f>
        <v>74.042405934370834</v>
      </c>
      <c r="O40" s="1055">
        <f>SUM(O41:O48)</f>
        <v>3.2612000000000001</v>
      </c>
      <c r="P40" s="1056">
        <f>SUM(P41:P48)</f>
        <v>0.94519999999999993</v>
      </c>
      <c r="Q40" s="1054">
        <f>SUM(Q44:Q48)</f>
        <v>72.691427086626263</v>
      </c>
      <c r="R40" s="1055">
        <f>SUM(R41:R48)</f>
        <v>3.2396000000000003</v>
      </c>
      <c r="S40" s="1056">
        <f>SUM(S41:S48)</f>
        <v>0.93840000000000001</v>
      </c>
      <c r="T40" s="1054">
        <f>SUM(T44:T48)</f>
        <v>73.398058102919222</v>
      </c>
      <c r="U40" s="1055">
        <f>SUM(U41:U48)</f>
        <v>3.2424000000000004</v>
      </c>
      <c r="V40" s="1056">
        <f>SUM(V41:V48)</f>
        <v>0.94120000000000015</v>
      </c>
      <c r="W40" s="1054">
        <f>SUM(W44:W48)</f>
        <v>75.263671391341887</v>
      </c>
      <c r="X40" s="1055">
        <f>SUM(X41:X48)</f>
        <v>3.3148000000000004</v>
      </c>
      <c r="Y40" s="1056">
        <f>SUM(Y41:Y48)</f>
        <v>0.93240000000000001</v>
      </c>
      <c r="Z40" s="1054">
        <f>SUM(Z44:Z48)</f>
        <v>86.786237577595614</v>
      </c>
      <c r="AA40" s="1055">
        <f>SUM(AA41:AA48)</f>
        <v>3.6675999999999997</v>
      </c>
      <c r="AB40" s="1056">
        <f>SUM(AB41:AB48)</f>
        <v>0.93320000000000003</v>
      </c>
      <c r="AC40" s="1054">
        <f>SUM(AC44:AC48)</f>
        <v>98.758695149522765</v>
      </c>
      <c r="AD40" s="1055">
        <f>SUM(AD41:AD48)</f>
        <v>4.0140000000000002</v>
      </c>
      <c r="AE40" s="1056">
        <f>SUM(AE41:AE48)</f>
        <v>0.92759999999999998</v>
      </c>
      <c r="AF40" s="1054">
        <f>SUM(AF44:AF48)</f>
        <v>99.506619186340487</v>
      </c>
      <c r="AG40" s="1055">
        <f>SUM(AG41:AG48)</f>
        <v>4.1836000000000002</v>
      </c>
      <c r="AH40" s="1056">
        <f>SUM(AH41:AH48)</f>
        <v>0.95040000000000002</v>
      </c>
      <c r="AI40" s="1054">
        <f>SUM(AI44:AI48)</f>
        <v>103.29935661759728</v>
      </c>
      <c r="AJ40" s="1055">
        <f>SUM(AJ41:AJ48)</f>
        <v>4.2604000000000006</v>
      </c>
      <c r="AK40" s="1056">
        <f>SUM(AK41:AK48)</f>
        <v>0.97080000000000011</v>
      </c>
      <c r="AL40" s="1054">
        <f>SUM(AL44:AL48)</f>
        <v>106.0977490098484</v>
      </c>
      <c r="AM40" s="1055">
        <f>SUM(AM41:AM48)</f>
        <v>4.3243999999999998</v>
      </c>
      <c r="AN40" s="1056">
        <f>SUM(AN41:AN48)</f>
        <v>0.9887999999999999</v>
      </c>
      <c r="AO40" s="1054">
        <f>SUM(AO44:AO48)</f>
        <v>107.80814029329862</v>
      </c>
      <c r="AP40" s="1055">
        <f>SUM(AP41:AP48)</f>
        <v>4.4139999999999997</v>
      </c>
      <c r="AQ40" s="1056">
        <f>SUM(AQ41:AQ48)</f>
        <v>0.98480000000000001</v>
      </c>
      <c r="AR40" s="1054">
        <f>SUM(AR44:AR48)</f>
        <v>108.38010384397465</v>
      </c>
      <c r="AS40" s="1055">
        <f>SUM(AS41:AS48)</f>
        <v>4.3456000000000001</v>
      </c>
      <c r="AT40" s="1056">
        <f>SUM(AT41:AT48)</f>
        <v>0.95640000000000003</v>
      </c>
      <c r="AU40" s="1054">
        <f>SUM(AU44:AU48)</f>
        <v>106.37528683268366</v>
      </c>
      <c r="AV40" s="1055">
        <f>SUM(AV41:AV48)</f>
        <v>4.2608000000000006</v>
      </c>
      <c r="AW40" s="1056">
        <f>SUM(AW41:AW48)</f>
        <v>0.95200000000000007</v>
      </c>
      <c r="AX40" s="1054">
        <f>SUM(AX44:AX48)</f>
        <v>103.29166323720865</v>
      </c>
      <c r="AY40" s="1055">
        <f>SUM(AY41:AY48)</f>
        <v>4.2220000000000004</v>
      </c>
      <c r="AZ40" s="1056">
        <f>SUM(AZ41:AZ48)</f>
        <v>0.94760000000000011</v>
      </c>
      <c r="BA40" s="1054">
        <f>SUM(BA44:BA48)</f>
        <v>105.62565647560095</v>
      </c>
      <c r="BB40" s="1055">
        <f>SUM(BB41:BB48)</f>
        <v>4.2723999999999993</v>
      </c>
      <c r="BC40" s="1056">
        <f>SUM(BC41:BC48)</f>
        <v>0.93399999999999994</v>
      </c>
      <c r="BD40" s="1054">
        <f>SUM(BD44:BD48)</f>
        <v>111.48459756528024</v>
      </c>
      <c r="BE40" s="1055">
        <f>SUM(BE41:BE48)</f>
        <v>4.3751999999999995</v>
      </c>
      <c r="BF40" s="1056">
        <f>SUM(BF41:BF48)</f>
        <v>0.91880000000000006</v>
      </c>
      <c r="BG40" s="1054">
        <f>SUM(BG44:BG48)</f>
        <v>115.80474116341921</v>
      </c>
      <c r="BH40" s="1055">
        <f>SUM(BH41:BH48)</f>
        <v>4.4715999999999996</v>
      </c>
      <c r="BI40" s="1056">
        <f>SUM(BI41:BI48)</f>
        <v>0.93880000000000008</v>
      </c>
      <c r="BJ40" s="1054">
        <f>SUM(BJ44:BJ48)</f>
        <v>120.84919303848018</v>
      </c>
      <c r="BK40" s="1055">
        <f>SUM(BK41:BK48)</f>
        <v>4.5232000000000001</v>
      </c>
      <c r="BL40" s="1056">
        <f>SUM(BL41:BL48)</f>
        <v>0.91199999999999992</v>
      </c>
      <c r="BM40" s="1054">
        <f>SUM(BM44:BM48)</f>
        <v>121.29965679586122</v>
      </c>
      <c r="BN40" s="1055">
        <f>SUM(BN41:BN48)</f>
        <v>4.5663999999999998</v>
      </c>
      <c r="BO40" s="1056">
        <f>SUM(BO41:BO48)</f>
        <v>0.91800000000000004</v>
      </c>
      <c r="BP40" s="1054">
        <f>SUM(BP44:BP48)</f>
        <v>118.07430086550875</v>
      </c>
      <c r="BQ40" s="1055">
        <f>SUM(BQ41:BQ48)</f>
        <v>4.4580000000000002</v>
      </c>
      <c r="BR40" s="1056">
        <f>SUM(BR41:BR48)</f>
        <v>0.91679999999999995</v>
      </c>
      <c r="BS40" s="1054">
        <f>SUM(BS44:BS48)</f>
        <v>111.78877754138519</v>
      </c>
      <c r="BT40" s="1055">
        <f>SUM(BT41:BT48)</f>
        <v>4.32</v>
      </c>
      <c r="BU40" s="1056">
        <f>SUM(BU41:BU48)</f>
        <v>0.9323999999999999</v>
      </c>
      <c r="BV40" s="1054">
        <f>SUM(BV44:BV48)</f>
        <v>103.60431782373973</v>
      </c>
      <c r="BW40" s="1055">
        <f>SUM(BW41:BW48)</f>
        <v>4.0796000000000001</v>
      </c>
      <c r="BX40" s="1056">
        <f>SUM(BX41:BX48)</f>
        <v>0.9588000000000001</v>
      </c>
      <c r="BY40" s="1054">
        <f>SUM(BY44:BY48)</f>
        <v>91.402131632403268</v>
      </c>
      <c r="BZ40" s="1055">
        <f>SUM(BZ41:BZ48)</f>
        <v>3.7664</v>
      </c>
      <c r="CA40" s="1056">
        <f>SUM(CA41:CA48)</f>
        <v>0.94639999999999991</v>
      </c>
      <c r="CB40" s="618">
        <f t="shared" si="3"/>
        <v>96.44959999999999</v>
      </c>
      <c r="CC40" s="618">
        <f t="shared" si="3"/>
        <v>22.642800000000001</v>
      </c>
      <c r="CE40" s="2366" t="s">
        <v>233</v>
      </c>
      <c r="CF40" s="2367"/>
      <c r="CG40" s="2368"/>
    </row>
    <row r="41" spans="1:85" x14ac:dyDescent="0.2">
      <c r="A41" s="2296" t="s">
        <v>268</v>
      </c>
      <c r="B41" s="2297"/>
      <c r="C41" s="2298"/>
      <c r="D41" s="948"/>
      <c r="E41" s="854"/>
      <c r="F41" s="853"/>
      <c r="G41" s="960"/>
      <c r="H41" s="575">
        <f>SQRT(I41^2+J41^2)*1000/(1.73*I18)</f>
        <v>20.701307821789491</v>
      </c>
      <c r="I41" s="576">
        <v>0.32800000000000001</v>
      </c>
      <c r="J41" s="577">
        <v>0.1608</v>
      </c>
      <c r="K41" s="575">
        <f>SQRT(L41^2+M41^2)*1000/(1.73*L18)</f>
        <v>20.396639579596027</v>
      </c>
      <c r="L41" s="576">
        <v>0.32239999999999996</v>
      </c>
      <c r="M41" s="577">
        <v>0.16</v>
      </c>
      <c r="N41" s="575">
        <f>SQRT(O41^2+P41^2)*1000/(1.73*O18)</f>
        <v>20.173779700702287</v>
      </c>
      <c r="O41" s="576">
        <v>0.31760000000000005</v>
      </c>
      <c r="P41" s="577">
        <v>0.1608</v>
      </c>
      <c r="Q41" s="575">
        <f>SQRT(R41^2+S41^2)*1000/(1.73*R18)</f>
        <v>19.829224855336388</v>
      </c>
      <c r="R41" s="576">
        <v>0.312</v>
      </c>
      <c r="S41" s="577">
        <v>0.15840000000000001</v>
      </c>
      <c r="T41" s="575">
        <f>SQRT(U41^2+V41^2)*1000/(1.73*U18)</f>
        <v>19.910787466344569</v>
      </c>
      <c r="U41" s="576">
        <v>0.31280000000000002</v>
      </c>
      <c r="V41" s="577">
        <v>0.16</v>
      </c>
      <c r="W41" s="575">
        <f>SQRT(X41^2+Y41^2)*1000/(1.73*X18)</f>
        <v>20.13313853546919</v>
      </c>
      <c r="X41" s="576">
        <v>0.31839999999999996</v>
      </c>
      <c r="Y41" s="577">
        <v>0.15760000000000002</v>
      </c>
      <c r="Z41" s="575">
        <f>SQRT(AA41^2+AB41^2)*1000/(1.73*AA18)</f>
        <v>22.45970236506302</v>
      </c>
      <c r="AA41" s="576">
        <v>0.36080000000000001</v>
      </c>
      <c r="AB41" s="577">
        <v>0.16400000000000001</v>
      </c>
      <c r="AC41" s="575">
        <f>SQRT(AD41^2+AE41^2)*1000/(1.73*AD18)</f>
        <v>27.334068777125175</v>
      </c>
      <c r="AD41" s="576">
        <v>0.4536</v>
      </c>
      <c r="AE41" s="577">
        <v>0.16400000000000001</v>
      </c>
      <c r="AF41" s="575">
        <f>SQRT(AG41^2+AH41^2)*1000/(1.73*AG18)</f>
        <v>34.025636906396421</v>
      </c>
      <c r="AG41" s="576">
        <v>0.57279999999999998</v>
      </c>
      <c r="AH41" s="577">
        <v>0.18</v>
      </c>
      <c r="AI41" s="575">
        <f>SQRT(AJ41^2+AK41^2)*1000/(1.73*AJ18)</f>
        <v>33.805651445362059</v>
      </c>
      <c r="AJ41" s="576">
        <v>0.57120000000000004</v>
      </c>
      <c r="AK41" s="577">
        <v>0.17199999999999999</v>
      </c>
      <c r="AL41" s="575">
        <f>SQRT(AM41^2+AN41^2)*1000/(1.73*AM18)</f>
        <v>35.299875176533249</v>
      </c>
      <c r="AM41" s="576">
        <v>0.59360000000000002</v>
      </c>
      <c r="AN41" s="577">
        <v>0.18880000000000002</v>
      </c>
      <c r="AO41" s="575">
        <f>SQRT(AP41^2+AQ41^2)*1000/(1.73*AP18)</f>
        <v>35.038463965724496</v>
      </c>
      <c r="AP41" s="576">
        <v>0.58640000000000003</v>
      </c>
      <c r="AQ41" s="577">
        <v>0.19600000000000001</v>
      </c>
      <c r="AR41" s="575">
        <f>SQRT(AS41^2+AT41^2)*1000/(1.73*AS18)</f>
        <v>32.587162943979997</v>
      </c>
      <c r="AS41" s="576">
        <v>0.54479999999999995</v>
      </c>
      <c r="AT41" s="577">
        <v>0.184</v>
      </c>
      <c r="AU41" s="575">
        <f>SQRT(AV41^2+AW41^2)*1000/(1.73*AV18)</f>
        <v>32.961929927195719</v>
      </c>
      <c r="AV41" s="576">
        <v>0.54959999999999987</v>
      </c>
      <c r="AW41" s="577">
        <v>0.19040000000000001</v>
      </c>
      <c r="AX41" s="575">
        <f>SQRT(AY41^2+AZ41^2)*1000/(1.73*AY18)</f>
        <v>33.268447408752621</v>
      </c>
      <c r="AY41" s="576">
        <v>0.55279999999999996</v>
      </c>
      <c r="AZ41" s="577">
        <v>0.1976</v>
      </c>
      <c r="BA41" s="575">
        <f>SQRT(BB41^2+BC41^2)*1000/(1.73*BB18)</f>
        <v>32.747822839840815</v>
      </c>
      <c r="BB41" s="576">
        <v>0.54559999999999986</v>
      </c>
      <c r="BC41" s="577">
        <v>0.19039999999999999</v>
      </c>
      <c r="BD41" s="575">
        <f>SQRT(BE41^2+BF41^2)*1000/(1.73*BE18)</f>
        <v>30.654045572603817</v>
      </c>
      <c r="BE41" s="576">
        <v>0.50719999999999998</v>
      </c>
      <c r="BF41" s="577">
        <v>0.188</v>
      </c>
      <c r="BG41" s="575">
        <f>SQRT(BH41^2+BI41^2)*1000/(1.73*BH18)</f>
        <v>29.024883584954239</v>
      </c>
      <c r="BH41" s="576">
        <v>0.47920000000000001</v>
      </c>
      <c r="BI41" s="577">
        <v>0.18080000000000002</v>
      </c>
      <c r="BJ41" s="575">
        <f>SQRT(BK41^2+BL41^2)*1000/(1.73*BK18)</f>
        <v>26.157370668311877</v>
      </c>
      <c r="BK41" s="576">
        <v>0.42960000000000004</v>
      </c>
      <c r="BL41" s="577">
        <v>0.16880000000000001</v>
      </c>
      <c r="BM41" s="575">
        <f>SQRT(BN41^2+BO41^2)*1000/(1.73*BN18)</f>
        <v>25.399602363645435</v>
      </c>
      <c r="BN41" s="576">
        <v>0.41520000000000007</v>
      </c>
      <c r="BO41" s="577">
        <v>0.16880000000000001</v>
      </c>
      <c r="BP41" s="575">
        <f>SQRT(BQ41^2+BR41^2)*1000/(1.73*BQ18)</f>
        <v>24.664021478354421</v>
      </c>
      <c r="BQ41" s="576">
        <v>0.39839999999999998</v>
      </c>
      <c r="BR41" s="577">
        <v>0.17519999999999999</v>
      </c>
      <c r="BS41" s="575">
        <f>SQRT(BT41^2+BU41^2)*1000/(1.73*BT18)</f>
        <v>24.020579678021228</v>
      </c>
      <c r="BT41" s="576">
        <v>0.3856</v>
      </c>
      <c r="BU41" s="577">
        <v>0.17599999999999999</v>
      </c>
      <c r="BV41" s="575">
        <f>SQRT(BW41^2+BX41^2)*1000/(1.73*BW18)</f>
        <v>23.052569636054155</v>
      </c>
      <c r="BW41" s="576">
        <v>0.36399999999999999</v>
      </c>
      <c r="BX41" s="577">
        <v>0.18159999999999998</v>
      </c>
      <c r="BY41" s="575">
        <f>SQRT(BZ41^2+CA41^2)*1000/(1.73*BZ18)</f>
        <v>22.018578184746136</v>
      </c>
      <c r="BZ41" s="576">
        <v>0.34720000000000006</v>
      </c>
      <c r="CA41" s="577">
        <v>0.1744</v>
      </c>
      <c r="CB41" s="618">
        <f t="shared" si="3"/>
        <v>10.5688</v>
      </c>
      <c r="CC41" s="618">
        <f t="shared" si="3"/>
        <v>4.1984000000000012</v>
      </c>
      <c r="CE41" s="2296" t="s">
        <v>269</v>
      </c>
      <c r="CF41" s="2297"/>
      <c r="CG41" s="2298"/>
    </row>
    <row r="42" spans="1:85" x14ac:dyDescent="0.2">
      <c r="A42" s="2296" t="s">
        <v>270</v>
      </c>
      <c r="B42" s="2297"/>
      <c r="C42" s="2298"/>
      <c r="D42" s="948"/>
      <c r="E42" s="854"/>
      <c r="F42" s="853"/>
      <c r="G42" s="960"/>
      <c r="H42" s="575">
        <f>SQRT(I42^2+J42^2)*1000/(1.73*I18)</f>
        <v>61.173003931543384</v>
      </c>
      <c r="I42" s="576">
        <v>1.044</v>
      </c>
      <c r="J42" s="577">
        <v>0.27439999999999998</v>
      </c>
      <c r="K42" s="575">
        <f>SQRT(L42^2+M42^2)*1000/(1.73*L18)</f>
        <v>60.165110892656955</v>
      </c>
      <c r="L42" s="576">
        <v>1.0255999999999998</v>
      </c>
      <c r="M42" s="577">
        <v>0.27439999999999998</v>
      </c>
      <c r="N42" s="575">
        <f>SQRT(O42^2+P42^2)*1000/(1.73*O18)</f>
        <v>59.003388820837493</v>
      </c>
      <c r="O42" s="576">
        <v>1.0047999999999999</v>
      </c>
      <c r="P42" s="577">
        <v>0.27279999999999999</v>
      </c>
      <c r="Q42" s="575">
        <f>SQRT(R42^2+S42^2)*1000/(1.73*R18)</f>
        <v>60.022007089915093</v>
      </c>
      <c r="R42" s="576">
        <v>1.0232000000000001</v>
      </c>
      <c r="S42" s="577">
        <v>0.27360000000000001</v>
      </c>
      <c r="T42" s="575">
        <f>SQRT(U42^2+V42^2)*1000/(1.73*U18)</f>
        <v>59.321546042145741</v>
      </c>
      <c r="U42" s="576">
        <v>1.0104000000000002</v>
      </c>
      <c r="V42" s="577">
        <v>0.27360000000000001</v>
      </c>
      <c r="W42" s="575">
        <f>SQRT(X42^2+Y42^2)*1000/(1.73*X18)</f>
        <v>60.030841237642861</v>
      </c>
      <c r="X42" s="576">
        <v>1.024</v>
      </c>
      <c r="Y42" s="577">
        <v>0.2712</v>
      </c>
      <c r="Z42" s="575">
        <f>SQRT(AA42^2+AB42^2)*1000/(1.73*AA18)</f>
        <v>61.621286915960894</v>
      </c>
      <c r="AA42" s="576">
        <v>1.0528</v>
      </c>
      <c r="AB42" s="577">
        <v>0.27200000000000002</v>
      </c>
      <c r="AC42" s="575">
        <f>SQRT(AD42^2+AE42^2)*1000/(1.73*AD18)</f>
        <v>61.95002091754121</v>
      </c>
      <c r="AD42" s="576">
        <v>1.0591999999999999</v>
      </c>
      <c r="AE42" s="577">
        <v>0.27039999999999997</v>
      </c>
      <c r="AF42" s="575">
        <f>SQRT(AG42^2+AH42^2)*1000/(1.73*AG18)</f>
        <v>63.984351316330951</v>
      </c>
      <c r="AG42" s="576">
        <v>1.0968000000000002</v>
      </c>
      <c r="AH42" s="577">
        <v>0.26800000000000002</v>
      </c>
      <c r="AI42" s="575">
        <f>SQRT(AJ42^2+AK42^2)*1000/(1.73*AJ18)</f>
        <v>64.33824945383347</v>
      </c>
      <c r="AJ42" s="576">
        <v>1.1040000000000001</v>
      </c>
      <c r="AK42" s="577">
        <v>0.26479999999999998</v>
      </c>
      <c r="AL42" s="575">
        <f>SQRT(AM42^2+AN42^2)*1000/(1.73*AM18)</f>
        <v>64.327690393120548</v>
      </c>
      <c r="AM42" s="576">
        <v>1.1040000000000001</v>
      </c>
      <c r="AN42" s="577">
        <v>0.26400000000000001</v>
      </c>
      <c r="AO42" s="575">
        <f>SQRT(AP42^2+AQ42^2)*1000/(1.73*AP18)</f>
        <v>65.967946043261762</v>
      </c>
      <c r="AP42" s="576">
        <v>1.1328</v>
      </c>
      <c r="AQ42" s="577">
        <v>0.26800000000000002</v>
      </c>
      <c r="AR42" s="575">
        <f>SQRT(AS42^2+AT42^2)*1000/(1.73*AS18)</f>
        <v>63.403666203698641</v>
      </c>
      <c r="AS42" s="576">
        <v>1.0880000000000001</v>
      </c>
      <c r="AT42" s="577">
        <v>0.26080000000000003</v>
      </c>
      <c r="AU42" s="575">
        <f>SQRT(AV42^2+AW42^2)*1000/(1.73*AV18)</f>
        <v>61.609161300064493</v>
      </c>
      <c r="AV42" s="576">
        <v>1.056</v>
      </c>
      <c r="AW42" s="577">
        <v>0.25839999999999996</v>
      </c>
      <c r="AX42" s="575">
        <f>SQRT(AY42^2+AZ42^2)*1000/(1.73*AY18)</f>
        <v>62.865954222197892</v>
      </c>
      <c r="AY42" s="576">
        <v>1.0791999999999997</v>
      </c>
      <c r="AZ42" s="577">
        <v>0.25680000000000003</v>
      </c>
      <c r="BA42" s="575">
        <f>SQRT(BB42^2+BC42^2)*1000/(1.73*BB18)</f>
        <v>62.479661350491533</v>
      </c>
      <c r="BB42" s="576">
        <v>1.0720000000000001</v>
      </c>
      <c r="BC42" s="577">
        <v>0.2576</v>
      </c>
      <c r="BD42" s="575">
        <f>SQRT(BE42^2+BF42^2)*1000/(1.73*BE18)</f>
        <v>62.677188238215571</v>
      </c>
      <c r="BE42" s="576">
        <v>1.0752000000000002</v>
      </c>
      <c r="BF42" s="577">
        <v>0.25919999999999999</v>
      </c>
      <c r="BG42" s="575">
        <f>SQRT(BH42^2+BI42^2)*1000/(1.73*BH18)</f>
        <v>62.763979760947826</v>
      </c>
      <c r="BH42" s="576">
        <v>1.0760000000000001</v>
      </c>
      <c r="BI42" s="577">
        <v>0.26239999999999997</v>
      </c>
      <c r="BJ42" s="575">
        <f>SQRT(BK42^2+BL42^2)*1000/(1.73*BK18)</f>
        <v>61.509447276631221</v>
      </c>
      <c r="BK42" s="576">
        <v>1.0528</v>
      </c>
      <c r="BL42" s="577">
        <v>0.26400000000000001</v>
      </c>
      <c r="BM42" s="575">
        <f>SQRT(BN42^2+BO42^2)*1000/(1.73*BN18)</f>
        <v>61.454454495099263</v>
      </c>
      <c r="BN42" s="576">
        <v>1.052</v>
      </c>
      <c r="BO42" s="577">
        <v>0.26319999999999999</v>
      </c>
      <c r="BP42" s="575">
        <f>SQRT(BQ42^2+BR42^2)*1000/(1.73*BQ18)</f>
        <v>61.278548444945258</v>
      </c>
      <c r="BQ42" s="576">
        <v>1.0488</v>
      </c>
      <c r="BR42" s="577">
        <v>0.26319999999999999</v>
      </c>
      <c r="BS42" s="575">
        <f>SQRT(BT42^2+BU42^2)*1000/(1.73*BT18)</f>
        <v>62.510066700857422</v>
      </c>
      <c r="BT42" s="576">
        <v>1.0704</v>
      </c>
      <c r="BU42" s="577">
        <v>0.26639999999999997</v>
      </c>
      <c r="BV42" s="575">
        <f>SQRT(BW42^2+BX42^2)*1000/(1.73*BW18)</f>
        <v>62.411149870618765</v>
      </c>
      <c r="BW42" s="576">
        <v>1.0680000000000001</v>
      </c>
      <c r="BX42" s="577">
        <v>0.26880000000000004</v>
      </c>
      <c r="BY42" s="575">
        <f>SQRT(BZ42^2+CA42^2)*1000/(1.73*BZ18)</f>
        <v>60.598906978361491</v>
      </c>
      <c r="BZ42" s="576">
        <v>1.0352000000000001</v>
      </c>
      <c r="CA42" s="577">
        <v>0.26800000000000002</v>
      </c>
      <c r="CB42" s="618">
        <f t="shared" si="3"/>
        <v>25.455200000000005</v>
      </c>
      <c r="CC42" s="618">
        <f t="shared" si="3"/>
        <v>6.3960000000000008</v>
      </c>
      <c r="CE42" s="2296" t="s">
        <v>271</v>
      </c>
      <c r="CF42" s="2297"/>
      <c r="CG42" s="2298"/>
    </row>
    <row r="43" spans="1:85" x14ac:dyDescent="0.2">
      <c r="A43" s="2296" t="s">
        <v>272</v>
      </c>
      <c r="B43" s="2297"/>
      <c r="C43" s="2298"/>
      <c r="D43" s="1057"/>
      <c r="E43" s="1058"/>
      <c r="F43" s="1059"/>
      <c r="G43" s="1060"/>
      <c r="H43" s="575">
        <f>SQRT(I43^2+J43^2)*1000/(1.73*I18)</f>
        <v>42.904892283231788</v>
      </c>
      <c r="I43" s="576">
        <v>0.74</v>
      </c>
      <c r="J43" s="577">
        <v>0.16</v>
      </c>
      <c r="K43" s="575">
        <f>SQRT(L43^2+M43^2)*1000/(1.73*L18)</f>
        <v>41.070060729913081</v>
      </c>
      <c r="L43" s="576">
        <v>0.70720000000000005</v>
      </c>
      <c r="M43" s="577">
        <v>0.15840000000000001</v>
      </c>
      <c r="N43" s="575">
        <f>SQRT(O43^2+P43^2)*1000/(1.73*O18)</f>
        <v>40.240082903810269</v>
      </c>
      <c r="O43" s="576">
        <v>0.69199999999999995</v>
      </c>
      <c r="P43" s="577">
        <v>0.15919999999999998</v>
      </c>
      <c r="Q43" s="575">
        <f>SQRT(R43^2+S43^2)*1000/(1.73*R18)</f>
        <v>39.649171685933915</v>
      </c>
      <c r="R43" s="576">
        <v>0.68240000000000001</v>
      </c>
      <c r="S43" s="577">
        <v>0.15439999999999998</v>
      </c>
      <c r="T43" s="575">
        <f>SQRT(U43^2+V43^2)*1000/(1.73*U18)</f>
        <v>39.767782436710263</v>
      </c>
      <c r="U43" s="576">
        <v>0.68400000000000005</v>
      </c>
      <c r="V43" s="577">
        <v>0.15680000000000002</v>
      </c>
      <c r="W43" s="575">
        <f>SQRT(X43^2+Y43^2)*1000/(1.73*X18)</f>
        <v>40.789978826851133</v>
      </c>
      <c r="X43" s="576">
        <v>0.70320000000000005</v>
      </c>
      <c r="Y43" s="577">
        <v>0.15359999999999999</v>
      </c>
      <c r="Z43" s="575">
        <f>SQRT(AA43^2+AB43^2)*1000/(1.73*AA18)</f>
        <v>44.740230723154752</v>
      </c>
      <c r="AA43" s="576">
        <v>0.77439999999999998</v>
      </c>
      <c r="AB43" s="577">
        <v>0.15359999999999999</v>
      </c>
      <c r="AC43" s="575">
        <f>SQRT(AD43^2+AE43^2)*1000/(1.73*AD18)</f>
        <v>46.465628755833848</v>
      </c>
      <c r="AD43" s="576">
        <v>0.80479999999999996</v>
      </c>
      <c r="AE43" s="577">
        <v>0.15680000000000002</v>
      </c>
      <c r="AF43" s="575">
        <f>SQRT(AG43^2+AH43^2)*1000/(1.73*AG18)</f>
        <v>46.493156228304642</v>
      </c>
      <c r="AG43" s="576">
        <v>0.80320000000000003</v>
      </c>
      <c r="AH43" s="577">
        <v>0.16719999999999999</v>
      </c>
      <c r="AI43" s="575">
        <f>SQRT(AJ43^2+AK43^2)*1000/(1.73*AJ18)</f>
        <v>47.034139916858415</v>
      </c>
      <c r="AJ43" s="576">
        <v>0.81359999999999999</v>
      </c>
      <c r="AK43" s="577">
        <v>0.16400000000000001</v>
      </c>
      <c r="AL43" s="575">
        <f>SQRT(AM43^2+AN43^2)*1000/(1.73*AM18)</f>
        <v>46.545380455879858</v>
      </c>
      <c r="AM43" s="576">
        <v>0.80479999999999996</v>
      </c>
      <c r="AN43" s="577">
        <v>0.16400000000000001</v>
      </c>
      <c r="AO43" s="575">
        <f>SQRT(AP43^2+AQ43^2)*1000/(1.73*AP18)</f>
        <v>48.403790757434642</v>
      </c>
      <c r="AP43" s="576">
        <v>0.83679999999999999</v>
      </c>
      <c r="AQ43" s="577">
        <v>0.17119999999999999</v>
      </c>
      <c r="AR43" s="575">
        <f>SQRT(AS43^2+AT43^2)*1000/(1.73*AS18)</f>
        <v>48.717529065865754</v>
      </c>
      <c r="AS43" s="576">
        <v>0.8448</v>
      </c>
      <c r="AT43" s="577">
        <v>0.15919999999999998</v>
      </c>
      <c r="AU43" s="575">
        <f>SQRT(AV43^2+AW43^2)*1000/(1.73*AV18)</f>
        <v>47.481070229382873</v>
      </c>
      <c r="AV43" s="576">
        <v>0.82320000000000004</v>
      </c>
      <c r="AW43" s="577">
        <v>0.156</v>
      </c>
      <c r="AX43" s="575">
        <f>SQRT(AY43^2+AZ43^2)*1000/(1.73*AY18)</f>
        <v>47.007716283637144</v>
      </c>
      <c r="AY43" s="576">
        <v>0.81279999999999997</v>
      </c>
      <c r="AZ43" s="577">
        <v>0.1656</v>
      </c>
      <c r="BA43" s="575">
        <f>SQRT(BB43^2+BC43^2)*1000/(1.73*BB18)</f>
        <v>48.225969859895962</v>
      </c>
      <c r="BB43" s="576">
        <v>0.83520000000000005</v>
      </c>
      <c r="BC43" s="577">
        <v>0.16319999999999998</v>
      </c>
      <c r="BD43" s="575">
        <f>SQRT(BE43^2+BF43^2)*1000/(1.73*BE18)</f>
        <v>49.825498463565957</v>
      </c>
      <c r="BE43" s="576">
        <v>0.86640000000000006</v>
      </c>
      <c r="BF43" s="577">
        <v>0.14959999999999998</v>
      </c>
      <c r="BG43" s="575">
        <f>SQRT(BH43^2+BI43^2)*1000/(1.73*BH18)</f>
        <v>52.546187543818931</v>
      </c>
      <c r="BH43" s="576">
        <v>0.91359999999999997</v>
      </c>
      <c r="BI43" s="577">
        <v>0.15840000000000001</v>
      </c>
      <c r="BJ43" s="575">
        <f>SQRT(BK43^2+BL43^2)*1000/(1.73*BK18)</f>
        <v>54.305571737039571</v>
      </c>
      <c r="BK43" s="576">
        <v>0.94640000000000013</v>
      </c>
      <c r="BL43" s="577">
        <v>0.15039999999999998</v>
      </c>
      <c r="BM43" s="575">
        <f>SQRT(BN43^2+BO43^2)*1000/(1.73*BN18)</f>
        <v>57.166192800373125</v>
      </c>
      <c r="BN43" s="576">
        <v>0.99759999999999993</v>
      </c>
      <c r="BO43" s="577">
        <v>0.14959999999999998</v>
      </c>
      <c r="BP43" s="575">
        <f>SQRT(BQ43^2+BR43^2)*1000/(1.73*BQ18)</f>
        <v>55.418258469905474</v>
      </c>
      <c r="BQ43" s="576">
        <v>0.96640000000000004</v>
      </c>
      <c r="BR43" s="577">
        <v>0.14960000000000001</v>
      </c>
      <c r="BS43" s="575">
        <f>SQRT(BT43^2+BU43^2)*1000/(1.73*BT18)</f>
        <v>53.539748611227687</v>
      </c>
      <c r="BT43" s="576">
        <v>0.93359999999999999</v>
      </c>
      <c r="BU43" s="577">
        <v>0.14480000000000001</v>
      </c>
      <c r="BV43" s="575">
        <f>SQRT(BW43^2+BX43^2)*1000/(1.73*BW18)</f>
        <v>49.817804535159077</v>
      </c>
      <c r="BW43" s="576">
        <v>0.86639999999999995</v>
      </c>
      <c r="BX43" s="577">
        <v>0.14880000000000002</v>
      </c>
      <c r="BY43" s="575">
        <f>SQRT(BZ43^2+CA43^2)*1000/(1.73*BZ18)</f>
        <v>47.419713217514861</v>
      </c>
      <c r="BZ43" s="576">
        <v>0.82240000000000013</v>
      </c>
      <c r="CA43" s="577">
        <v>0.15440000000000001</v>
      </c>
      <c r="CB43" s="618">
        <f t="shared" si="3"/>
        <v>19.6752</v>
      </c>
      <c r="CC43" s="618">
        <f t="shared" si="3"/>
        <v>3.7687999999999997</v>
      </c>
      <c r="CE43" s="2296" t="s">
        <v>273</v>
      </c>
      <c r="CF43" s="2297"/>
      <c r="CG43" s="2298"/>
    </row>
    <row r="44" spans="1:85" x14ac:dyDescent="0.2">
      <c r="A44" s="2296" t="s">
        <v>274</v>
      </c>
      <c r="B44" s="2297"/>
      <c r="C44" s="2298"/>
      <c r="D44" s="948"/>
      <c r="E44" s="854"/>
      <c r="F44" s="853"/>
      <c r="G44" s="960"/>
      <c r="H44" s="575">
        <f>SQRT(I44^2+J44^2)*1000/(1.73*I18)</f>
        <v>35.552399028241979</v>
      </c>
      <c r="I44" s="576">
        <v>0.62160000000000004</v>
      </c>
      <c r="J44" s="577">
        <v>8.48E-2</v>
      </c>
      <c r="K44" s="575">
        <f>SQRT(L44^2+M44^2)*1000/(1.73*L18)</f>
        <v>31.859377347323445</v>
      </c>
      <c r="L44" s="576">
        <v>0.55600000000000005</v>
      </c>
      <c r="M44" s="577">
        <v>8.3199999999999996E-2</v>
      </c>
      <c r="N44" s="575">
        <f>SQRT(O44^2+P44^2)*1000/(1.73*O18)</f>
        <v>30.45624650312762</v>
      </c>
      <c r="O44" s="576">
        <v>0.53120000000000001</v>
      </c>
      <c r="P44" s="577">
        <v>8.1599999999999992E-2</v>
      </c>
      <c r="Q44" s="575">
        <f>SQRT(R44^2+S44^2)*1000/(1.73*R18)</f>
        <v>29.642880726590999</v>
      </c>
      <c r="R44" s="576">
        <v>0.51679999999999993</v>
      </c>
      <c r="S44" s="577">
        <v>8.0799999999999997E-2</v>
      </c>
      <c r="T44" s="575">
        <f>SQRT(U44^2+V44^2)*1000/(1.73*U18)</f>
        <v>29.925676096996934</v>
      </c>
      <c r="U44" s="576">
        <v>0.52160000000000006</v>
      </c>
      <c r="V44" s="577">
        <v>8.2400000000000001E-2</v>
      </c>
      <c r="W44" s="575">
        <f>SQRT(X44^2+Y44^2)*1000/(1.73*X18)</f>
        <v>31.615226197980451</v>
      </c>
      <c r="X44" s="576">
        <v>0.55200000000000005</v>
      </c>
      <c r="Y44" s="577">
        <v>8.0799999999999997E-2</v>
      </c>
      <c r="Z44" s="575">
        <f>SQRT(AA44^2+AB44^2)*1000/(1.73*AA18)</f>
        <v>38.855748594882257</v>
      </c>
      <c r="AA44" s="576">
        <v>0.68159999999999987</v>
      </c>
      <c r="AB44" s="577">
        <v>7.4400000000000008E-2</v>
      </c>
      <c r="AC44" s="575">
        <f>SQRT(AD44^2+AE44^2)*1000/(1.73*AD18)</f>
        <v>46.591370524235536</v>
      </c>
      <c r="AD44" s="576">
        <v>0.81920000000000004</v>
      </c>
      <c r="AE44" s="577">
        <v>6.9599999999999995E-2</v>
      </c>
      <c r="AF44" s="575">
        <f>SQRT(AG44^2+AH44^2)*1000/(1.73*AG18)</f>
        <v>47.088295838034789</v>
      </c>
      <c r="AG44" s="576">
        <v>0.82799999999999996</v>
      </c>
      <c r="AH44" s="577">
        <v>6.9599999999999995E-2</v>
      </c>
      <c r="AI44" s="575">
        <f>SQRT(AJ44^2+AK44^2)*1000/(1.73*AJ18)</f>
        <v>49.861518299448086</v>
      </c>
      <c r="AJ44" s="576">
        <v>0.87520000000000009</v>
      </c>
      <c r="AK44" s="577">
        <v>9.0400000000000008E-2</v>
      </c>
      <c r="AL44" s="575">
        <f>SQRT(AM44^2+AN44^2)*1000/(1.73*AM18)</f>
        <v>50.592374779567592</v>
      </c>
      <c r="AM44" s="576">
        <v>0.88800000000000001</v>
      </c>
      <c r="AN44" s="577">
        <v>9.1999999999999998E-2</v>
      </c>
      <c r="AO44" s="575">
        <f>SQRT(AP44^2+AQ44^2)*1000/(1.73*AP18)</f>
        <v>52.111343238915438</v>
      </c>
      <c r="AP44" s="576">
        <v>0.91600000000000004</v>
      </c>
      <c r="AQ44" s="577">
        <v>8.0800000000000011E-2</v>
      </c>
      <c r="AR44" s="575">
        <f>SQRT(AS44^2+AT44^2)*1000/(1.73*AS18)</f>
        <v>53.63400753885729</v>
      </c>
      <c r="AS44" s="576">
        <v>0.94240000000000013</v>
      </c>
      <c r="AT44" s="577">
        <v>8.7199999999999986E-2</v>
      </c>
      <c r="AU44" s="575">
        <f>SQRT(AV44^2+AW44^2)*1000/(1.73*AV18)</f>
        <v>52.932206286448704</v>
      </c>
      <c r="AV44" s="576">
        <v>0.93040000000000012</v>
      </c>
      <c r="AW44" s="577">
        <v>8.2400000000000001E-2</v>
      </c>
      <c r="AX44" s="575">
        <f>SQRT(AY44^2+AZ44^2)*1000/(1.73*AY18)</f>
        <v>51.203755901345062</v>
      </c>
      <c r="AY44" s="576">
        <v>0.90159999999999996</v>
      </c>
      <c r="AZ44" s="577">
        <v>5.9200000000000003E-2</v>
      </c>
      <c r="BA44" s="575">
        <f>SQRT(BB44^2+BC44^2)*1000/(1.73*BB18)</f>
        <v>51.822936589767259</v>
      </c>
      <c r="BB44" s="576">
        <v>0.91279999999999994</v>
      </c>
      <c r="BC44" s="577">
        <v>5.5200000000000006E-2</v>
      </c>
      <c r="BD44" s="575">
        <f>SQRT(BE44^2+BF44^2)*1000/(1.73*BE18)</f>
        <v>54.922341378972696</v>
      </c>
      <c r="BE44" s="576">
        <v>0.96720000000000006</v>
      </c>
      <c r="BF44" s="577">
        <v>6.1600000000000002E-2</v>
      </c>
      <c r="BG44" s="575">
        <f>SQRT(BH44^2+BI44^2)*1000/(1.73*BH18)</f>
        <v>56.28079837929689</v>
      </c>
      <c r="BH44" s="576">
        <v>0.99040000000000006</v>
      </c>
      <c r="BI44" s="577">
        <v>7.3599999999999999E-2</v>
      </c>
      <c r="BJ44" s="575">
        <f>SQRT(BK44^2+BL44^2)*1000/(1.73*BK18)</f>
        <v>60.37763284263346</v>
      </c>
      <c r="BK44" s="576">
        <v>1.0632000000000001</v>
      </c>
      <c r="BL44" s="577">
        <v>6.8800000000000014E-2</v>
      </c>
      <c r="BM44" s="575">
        <f>SQRT(BN44^2+BO44^2)*1000/(1.73*BN18)</f>
        <v>59.856262761427338</v>
      </c>
      <c r="BN44" s="576">
        <v>1.0535999999999999</v>
      </c>
      <c r="BO44" s="577">
        <v>7.4400000000000008E-2</v>
      </c>
      <c r="BP44" s="575">
        <f>SQRT(BQ44^2+BR44^2)*1000/(1.73*BQ18)</f>
        <v>57.560953842311164</v>
      </c>
      <c r="BQ44" s="576">
        <v>1.0136000000000001</v>
      </c>
      <c r="BR44" s="577">
        <v>6.5599999999999992E-2</v>
      </c>
      <c r="BS44" s="575">
        <f>SQRT(BT44^2+BU44^2)*1000/(1.73*BT18)</f>
        <v>54.283236818982282</v>
      </c>
      <c r="BT44" s="576">
        <v>0.95440000000000014</v>
      </c>
      <c r="BU44" s="577">
        <v>8.1599999999999992E-2</v>
      </c>
      <c r="BV44" s="575">
        <f>SQRT(BW44^2+BX44^2)*1000/(1.73*BW18)</f>
        <v>49.1757645706086</v>
      </c>
      <c r="BW44" s="576">
        <v>0.86320000000000008</v>
      </c>
      <c r="BX44" s="577">
        <v>8.8800000000000004E-2</v>
      </c>
      <c r="BY44" s="575">
        <f>SQRT(BZ44^2+CA44^2)*1000/(1.73*BZ18)</f>
        <v>41.714934381705703</v>
      </c>
      <c r="BZ44" s="576">
        <v>0.73199999999999998</v>
      </c>
      <c r="CA44" s="577">
        <v>7.7599999999999988E-2</v>
      </c>
      <c r="CB44" s="618">
        <f t="shared" si="3"/>
        <v>19.631999999999998</v>
      </c>
      <c r="CC44" s="618">
        <f t="shared" si="3"/>
        <v>1.8463999999999998</v>
      </c>
      <c r="CE44" s="2296" t="s">
        <v>275</v>
      </c>
      <c r="CF44" s="2297"/>
      <c r="CG44" s="2298"/>
    </row>
    <row r="45" spans="1:85" x14ac:dyDescent="0.2">
      <c r="A45" s="2296" t="s">
        <v>276</v>
      </c>
      <c r="B45" s="2297"/>
      <c r="C45" s="2298"/>
      <c r="D45" s="1057"/>
      <c r="E45" s="1058"/>
      <c r="F45" s="1059"/>
      <c r="G45" s="1061"/>
      <c r="H45" s="575">
        <f>SQRT(I45^2+J45^2)*1000/(1.73*I18)</f>
        <v>0</v>
      </c>
      <c r="I45" s="576">
        <v>0</v>
      </c>
      <c r="J45" s="577">
        <v>0</v>
      </c>
      <c r="K45" s="575">
        <f>SQRT(L45^2+M45^2)*1000/(1.73*L18)</f>
        <v>0</v>
      </c>
      <c r="L45" s="576">
        <v>0</v>
      </c>
      <c r="M45" s="577">
        <v>0</v>
      </c>
      <c r="N45" s="575">
        <f>SQRT(O45^2+P45^2)*1000/(1.73*O18)</f>
        <v>0</v>
      </c>
      <c r="O45" s="576">
        <v>0</v>
      </c>
      <c r="P45" s="577">
        <v>0</v>
      </c>
      <c r="Q45" s="575">
        <f>SQRT(R45^2+S45^2)*1000/(1.73*R18)</f>
        <v>0</v>
      </c>
      <c r="R45" s="576">
        <v>0</v>
      </c>
      <c r="S45" s="577">
        <v>0</v>
      </c>
      <c r="T45" s="575">
        <f>SQRT(U45^2+V45^2)*1000/(1.73*U18)</f>
        <v>0</v>
      </c>
      <c r="U45" s="576">
        <v>0</v>
      </c>
      <c r="V45" s="577">
        <v>0</v>
      </c>
      <c r="W45" s="575">
        <f>SQRT(X45^2+Y45^2)*1000/(1.73*X18)</f>
        <v>0</v>
      </c>
      <c r="X45" s="576">
        <v>0</v>
      </c>
      <c r="Y45" s="577">
        <v>0</v>
      </c>
      <c r="Z45" s="575">
        <f>SQRT(AA45^2+AB45^2)*1000/(1.73*AA18)</f>
        <v>0</v>
      </c>
      <c r="AA45" s="576">
        <v>0</v>
      </c>
      <c r="AB45" s="577">
        <v>0</v>
      </c>
      <c r="AC45" s="575">
        <f>SQRT(AD45^2+AE45^2)*1000/(1.73*AD18)</f>
        <v>0</v>
      </c>
      <c r="AD45" s="576">
        <v>0</v>
      </c>
      <c r="AE45" s="577">
        <v>0</v>
      </c>
      <c r="AF45" s="575">
        <f>SQRT(AG45^2+AH45^2)*1000/(1.73*AG18)</f>
        <v>0</v>
      </c>
      <c r="AG45" s="576">
        <v>0</v>
      </c>
      <c r="AH45" s="577">
        <v>0</v>
      </c>
      <c r="AI45" s="575">
        <f>SQRT(AJ45^2+AK45^2)*1000/(1.73*AJ18)</f>
        <v>0</v>
      </c>
      <c r="AJ45" s="576">
        <v>0</v>
      </c>
      <c r="AK45" s="577">
        <v>0</v>
      </c>
      <c r="AL45" s="575">
        <f>SQRT(AM45^2+AN45^2)*1000/(1.73*AM18)</f>
        <v>0</v>
      </c>
      <c r="AM45" s="576">
        <v>0</v>
      </c>
      <c r="AN45" s="577">
        <v>0</v>
      </c>
      <c r="AO45" s="575">
        <f>SQRT(AP45^2+AQ45^2)*1000/(1.73*AP18)</f>
        <v>0</v>
      </c>
      <c r="AP45" s="576">
        <v>0</v>
      </c>
      <c r="AQ45" s="577">
        <v>0</v>
      </c>
      <c r="AR45" s="575">
        <f>SQRT(AS45^2+AT45^2)*1000/(1.73*AS18)</f>
        <v>0</v>
      </c>
      <c r="AS45" s="576">
        <v>0</v>
      </c>
      <c r="AT45" s="577">
        <v>0</v>
      </c>
      <c r="AU45" s="575">
        <f>SQRT(AV45^2+AW45^2)*1000/(1.73*AV18)</f>
        <v>0</v>
      </c>
      <c r="AV45" s="576">
        <v>0</v>
      </c>
      <c r="AW45" s="577">
        <v>0</v>
      </c>
      <c r="AX45" s="575">
        <f>SQRT(AY45^2+AZ45^2)*1000/(1.73*AY18)</f>
        <v>0</v>
      </c>
      <c r="AY45" s="576">
        <v>0</v>
      </c>
      <c r="AZ45" s="577">
        <v>0</v>
      </c>
      <c r="BA45" s="575">
        <f>SQRT(BB45^2+BC45^2)*1000/(1.73*BB18)</f>
        <v>0</v>
      </c>
      <c r="BB45" s="576">
        <v>0</v>
      </c>
      <c r="BC45" s="577">
        <v>0</v>
      </c>
      <c r="BD45" s="575">
        <f>SQRT(BE45^2+BF45^2)*1000/(1.73*BE18)</f>
        <v>0</v>
      </c>
      <c r="BE45" s="576">
        <v>0</v>
      </c>
      <c r="BF45" s="577">
        <v>0</v>
      </c>
      <c r="BG45" s="575">
        <f>SQRT(BH45^2+BI45^2)*1000/(1.73*BH18)</f>
        <v>0</v>
      </c>
      <c r="BH45" s="576">
        <v>0</v>
      </c>
      <c r="BI45" s="577">
        <v>0</v>
      </c>
      <c r="BJ45" s="575">
        <f>SQRT(BK45^2+BL45^2)*1000/(1.73*BK18)</f>
        <v>0</v>
      </c>
      <c r="BK45" s="576">
        <v>0</v>
      </c>
      <c r="BL45" s="577">
        <v>0</v>
      </c>
      <c r="BM45" s="575">
        <f>SQRT(BN45^2+BO45^2)*1000/(1.73*BN18)</f>
        <v>0</v>
      </c>
      <c r="BN45" s="576">
        <v>0</v>
      </c>
      <c r="BO45" s="577">
        <v>0</v>
      </c>
      <c r="BP45" s="575">
        <f>SQRT(BQ45^2+BR45^2)*1000/(1.73*BQ18)</f>
        <v>0</v>
      </c>
      <c r="BQ45" s="576">
        <v>0</v>
      </c>
      <c r="BR45" s="577">
        <v>0</v>
      </c>
      <c r="BS45" s="575">
        <f>SQRT(BT45^2+BU45^2)*1000/(1.73*BT18)</f>
        <v>0</v>
      </c>
      <c r="BT45" s="576">
        <v>0</v>
      </c>
      <c r="BU45" s="577">
        <v>0</v>
      </c>
      <c r="BV45" s="575">
        <f>SQRT(BW45^2+BX45^2)*1000/(1.73*BW18)</f>
        <v>0</v>
      </c>
      <c r="BW45" s="576">
        <v>0</v>
      </c>
      <c r="BX45" s="577">
        <v>0</v>
      </c>
      <c r="BY45" s="575">
        <f>SQRT(BZ45^2+CA45^2)*1000/(1.73*BZ18)</f>
        <v>0</v>
      </c>
      <c r="BZ45" s="576">
        <v>0</v>
      </c>
      <c r="CA45" s="577">
        <v>0</v>
      </c>
      <c r="CB45" s="618">
        <f t="shared" si="3"/>
        <v>0</v>
      </c>
      <c r="CC45" s="618">
        <f t="shared" si="3"/>
        <v>0</v>
      </c>
      <c r="CE45" s="2296" t="s">
        <v>277</v>
      </c>
      <c r="CF45" s="2297"/>
      <c r="CG45" s="2298"/>
    </row>
    <row r="46" spans="1:85" ht="14.25" customHeight="1" x14ac:dyDescent="0.2">
      <c r="A46" s="2296" t="s">
        <v>278</v>
      </c>
      <c r="B46" s="2297"/>
      <c r="C46" s="2298"/>
      <c r="D46" s="948"/>
      <c r="E46" s="854"/>
      <c r="F46" s="853"/>
      <c r="G46" s="960"/>
      <c r="H46" s="575">
        <f>SQRT(I46^2+J46^2)*1000/(1.73*I18)</f>
        <v>10.513004610937152</v>
      </c>
      <c r="I46" s="576">
        <v>0.1832</v>
      </c>
      <c r="J46" s="577">
        <v>2.9200000000000004E-2</v>
      </c>
      <c r="K46" s="575">
        <f>SQRT(L46^2+M46^2)*1000/(1.73*L18)</f>
        <v>10.210983682859649</v>
      </c>
      <c r="L46" s="576">
        <v>0.17760000000000001</v>
      </c>
      <c r="M46" s="577">
        <v>3.04E-2</v>
      </c>
      <c r="N46" s="575">
        <f>SQRT(O46^2+P46^2)*1000/(1.73*O18)</f>
        <v>9.6186450235470762</v>
      </c>
      <c r="O46" s="576">
        <v>0.16719999999999999</v>
      </c>
      <c r="P46" s="577">
        <v>2.92E-2</v>
      </c>
      <c r="Q46" s="575">
        <f>SQRT(R46^2+S46^2)*1000/(1.73*R18)</f>
        <v>9.5556151939046714</v>
      </c>
      <c r="R46" s="576">
        <v>0.16600000000000001</v>
      </c>
      <c r="S46" s="577">
        <v>2.9600000000000001E-2</v>
      </c>
      <c r="T46" s="575">
        <f>SQRT(U46^2+V46^2)*1000/(1.73*U18)</f>
        <v>10.032208960105802</v>
      </c>
      <c r="U46" s="576">
        <v>0.17480000000000001</v>
      </c>
      <c r="V46" s="577">
        <v>2.8000000000000001E-2</v>
      </c>
      <c r="W46" s="575">
        <f>SQRT(X46^2+Y46^2)*1000/(1.73*X18)</f>
        <v>9.8420228471160094</v>
      </c>
      <c r="X46" s="576">
        <v>0.17119999999999999</v>
      </c>
      <c r="Y46" s="577">
        <v>2.9200000000000004E-2</v>
      </c>
      <c r="Z46" s="575">
        <f>SQRT(AA46^2+AB46^2)*1000/(1.73*AA18)</f>
        <v>10.759316274058097</v>
      </c>
      <c r="AA46" s="576">
        <v>0.18759999999999999</v>
      </c>
      <c r="AB46" s="577">
        <v>2.9200000000000004E-2</v>
      </c>
      <c r="AC46" s="575">
        <f>SQRT(AD46^2+AE46^2)*1000/(1.73*AD18)</f>
        <v>11.657097497295409</v>
      </c>
      <c r="AD46" s="576">
        <v>0.20399999999999999</v>
      </c>
      <c r="AE46" s="577">
        <v>2.64E-2</v>
      </c>
      <c r="AF46" s="575">
        <f>SQRT(AG46^2+AH46^2)*1000/(1.73*AG18)</f>
        <v>11.233145172242875</v>
      </c>
      <c r="AG46" s="576">
        <v>0.19639999999999996</v>
      </c>
      <c r="AH46" s="577">
        <v>2.6799999999999997E-2</v>
      </c>
      <c r="AI46" s="575">
        <f>SQRT(AJ46^2+AK46^2)*1000/(1.73*AJ18)</f>
        <v>11.44454771516658</v>
      </c>
      <c r="AJ46" s="576">
        <v>0.2</v>
      </c>
      <c r="AK46" s="577">
        <v>2.8000000000000001E-2</v>
      </c>
      <c r="AL46" s="575">
        <f>SQRT(AM46^2+AN46^2)*1000/(1.73*AM18)</f>
        <v>12.410594558662561</v>
      </c>
      <c r="AM46" s="576">
        <v>0.21719999999999998</v>
      </c>
      <c r="AN46" s="577">
        <v>2.8000000000000001E-2</v>
      </c>
      <c r="AO46" s="575">
        <f>SQRT(AP46^2+AQ46^2)*1000/(1.73*AP18)</f>
        <v>12.253237451155885</v>
      </c>
      <c r="AP46" s="576">
        <v>0.21440000000000001</v>
      </c>
      <c r="AQ46" s="577">
        <v>2.8000000000000001E-2</v>
      </c>
      <c r="AR46" s="575">
        <f>SQRT(AS46^2+AT46^2)*1000/(1.73*AS18)</f>
        <v>12.371531182551202</v>
      </c>
      <c r="AS46" s="576">
        <v>0.21640000000000001</v>
      </c>
      <c r="AT46" s="577">
        <v>2.8799999999999999E-2</v>
      </c>
      <c r="AU46" s="575">
        <f>SQRT(AV46^2+AW46^2)*1000/(1.73*AV18)</f>
        <v>11.868222025906404</v>
      </c>
      <c r="AV46" s="576">
        <v>0.20760000000000001</v>
      </c>
      <c r="AW46" s="577">
        <v>2.7600000000000003E-2</v>
      </c>
      <c r="AX46" s="575">
        <f>SQRT(AY46^2+AZ46^2)*1000/(1.73*AY18)</f>
        <v>11.310822925889251</v>
      </c>
      <c r="AY46" s="576">
        <v>0.19719999999999999</v>
      </c>
      <c r="AZ46" s="577">
        <v>3.0799999999999998E-2</v>
      </c>
      <c r="BA46" s="575">
        <f>SQRT(BB46^2+BC46^2)*1000/(1.73*BB18)</f>
        <v>12.205358985226949</v>
      </c>
      <c r="BB46" s="576">
        <v>0.21360000000000001</v>
      </c>
      <c r="BC46" s="577">
        <v>2.7600000000000003E-2</v>
      </c>
      <c r="BD46" s="575">
        <f>SQRT(BE46^2+BF46^2)*1000/(1.73*BE18)</f>
        <v>13.650688719170711</v>
      </c>
      <c r="BE46" s="576">
        <v>0.23960000000000001</v>
      </c>
      <c r="BF46" s="577">
        <v>2.4799999999999999E-2</v>
      </c>
      <c r="BG46" s="575">
        <f>SQRT(BH46^2+BI46^2)*1000/(1.73*BH18)</f>
        <v>14.025263389409741</v>
      </c>
      <c r="BH46" s="576">
        <v>0.24640000000000001</v>
      </c>
      <c r="BI46" s="577">
        <v>2.3199999999999998E-2</v>
      </c>
      <c r="BJ46" s="575">
        <f>SQRT(BK46^2+BL46^2)*1000/(1.73*BK18)</f>
        <v>14.007024769837461</v>
      </c>
      <c r="BK46" s="576">
        <v>0.246</v>
      </c>
      <c r="BL46" s="577">
        <v>2.4E-2</v>
      </c>
      <c r="BM46" s="575">
        <f>SQRT(BN46^2+BO46^2)*1000/(1.73*BN18)</f>
        <v>14.866665964187082</v>
      </c>
      <c r="BN46" s="576">
        <v>0.26119999999999999</v>
      </c>
      <c r="BO46" s="577">
        <v>2.4399999999999998E-2</v>
      </c>
      <c r="BP46" s="575">
        <f>SQRT(BQ46^2+BR46^2)*1000/(1.73*BQ18)</f>
        <v>14.737791526328341</v>
      </c>
      <c r="BQ46" s="576">
        <v>0.25880000000000003</v>
      </c>
      <c r="BR46" s="577">
        <v>2.5600000000000001E-2</v>
      </c>
      <c r="BS46" s="575">
        <f>SQRT(BT46^2+BU46^2)*1000/(1.73*BT18)</f>
        <v>13.407519849743228</v>
      </c>
      <c r="BT46" s="576">
        <v>0.23519999999999999</v>
      </c>
      <c r="BU46" s="577">
        <v>2.5600000000000001E-2</v>
      </c>
      <c r="BV46" s="575">
        <f>SQRT(BW46^2+BX46^2)*1000/(1.73*BW18)</f>
        <v>12.582796844142877</v>
      </c>
      <c r="BW46" s="576">
        <v>0.22</v>
      </c>
      <c r="BX46" s="577">
        <v>0.03</v>
      </c>
      <c r="BY46" s="575">
        <f>SQRT(BZ46^2+CA46^2)*1000/(1.73*BZ18)</f>
        <v>11.210869042532471</v>
      </c>
      <c r="BZ46" s="576">
        <v>0.19560000000000002</v>
      </c>
      <c r="CA46" s="577">
        <v>2.9600000000000001E-2</v>
      </c>
      <c r="CB46" s="618">
        <f t="shared" si="3"/>
        <v>4.9972000000000021</v>
      </c>
      <c r="CC46" s="618">
        <f t="shared" si="3"/>
        <v>0.66400000000000003</v>
      </c>
      <c r="CE46" s="2296" t="s">
        <v>279</v>
      </c>
      <c r="CF46" s="2297"/>
      <c r="CG46" s="2298"/>
    </row>
    <row r="47" spans="1:85" x14ac:dyDescent="0.2">
      <c r="A47" s="2296" t="s">
        <v>280</v>
      </c>
      <c r="B47" s="2297"/>
      <c r="C47" s="2298"/>
      <c r="D47" s="948"/>
      <c r="E47" s="854"/>
      <c r="F47" s="853"/>
      <c r="G47" s="960"/>
      <c r="H47" s="575">
        <f>SQRT(I47^2+J47^2)*1000/(1.73*I18)</f>
        <v>35.737522700300957</v>
      </c>
      <c r="I47" s="576">
        <v>0.58479999999999999</v>
      </c>
      <c r="J47" s="577">
        <v>0.23599999999999999</v>
      </c>
      <c r="K47" s="575">
        <f>SQRT(L47^2+M47^2)*1000/(1.73*L18)</f>
        <v>34.134224908903114</v>
      </c>
      <c r="L47" s="576">
        <v>0.55279999999999996</v>
      </c>
      <c r="M47" s="577">
        <v>0.2392</v>
      </c>
      <c r="N47" s="575">
        <f>SQRT(O47^2+P47^2)*1000/(1.73*O18)</f>
        <v>33.285587219370555</v>
      </c>
      <c r="O47" s="576">
        <v>0.53679999999999994</v>
      </c>
      <c r="P47" s="577">
        <v>0.2384</v>
      </c>
      <c r="Q47" s="575">
        <f>SQRT(R47^2+S47^2)*1000/(1.73*R18)</f>
        <v>32.789126351611252</v>
      </c>
      <c r="R47" s="576">
        <v>0.5272</v>
      </c>
      <c r="S47" s="577">
        <v>0.2384</v>
      </c>
      <c r="T47" s="575">
        <f>SQRT(U47^2+V47^2)*1000/(1.73*U18)</f>
        <v>32.751870815251415</v>
      </c>
      <c r="U47" s="576">
        <v>0.5272</v>
      </c>
      <c r="V47" s="577">
        <v>0.23680000000000001</v>
      </c>
      <c r="W47" s="575">
        <f>SQRT(X47^2+Y47^2)*1000/(1.73*X18)</f>
        <v>33.12449515791986</v>
      </c>
      <c r="X47" s="576">
        <v>0.5344000000000001</v>
      </c>
      <c r="Y47" s="577">
        <v>0.23680000000000001</v>
      </c>
      <c r="Z47" s="575">
        <f>SQRT(AA47^2+AB47^2)*1000/(1.73*AA18)</f>
        <v>36.411201967898592</v>
      </c>
      <c r="AA47" s="576">
        <v>0.59760000000000002</v>
      </c>
      <c r="AB47" s="577">
        <v>0.23599999999999999</v>
      </c>
      <c r="AC47" s="575">
        <f>SQRT(AD47^2+AE47^2)*1000/(1.73*AD18)</f>
        <v>39.706230852304721</v>
      </c>
      <c r="AD47" s="576">
        <v>0.66</v>
      </c>
      <c r="AE47" s="577">
        <v>0.23519999999999999</v>
      </c>
      <c r="AF47" s="575">
        <f>SQRT(AG47^2+AH47^2)*1000/(1.73*AG18)</f>
        <v>40.030888065535883</v>
      </c>
      <c r="AG47" s="576">
        <v>0.66720000000000002</v>
      </c>
      <c r="AH47" s="577">
        <v>0.23200000000000001</v>
      </c>
      <c r="AI47" s="575">
        <f>SQRT(AJ47^2+AK47^2)*1000/(1.73*AJ18)</f>
        <v>40.880477481945903</v>
      </c>
      <c r="AJ47" s="576">
        <v>0.68</v>
      </c>
      <c r="AK47" s="577">
        <v>0.24080000000000001</v>
      </c>
      <c r="AL47" s="575">
        <f>SQRT(AM47^2+AN47^2)*1000/(1.73*AM18)</f>
        <v>42.051065340146295</v>
      </c>
      <c r="AM47" s="576">
        <v>0.7016</v>
      </c>
      <c r="AN47" s="577">
        <v>0.24159999999999998</v>
      </c>
      <c r="AO47" s="575">
        <f>SQRT(AP47^2+AQ47^2)*1000/(1.73*AP18)</f>
        <v>42.551406428381817</v>
      </c>
      <c r="AP47" s="576">
        <v>0.7135999999999999</v>
      </c>
      <c r="AQ47" s="577">
        <v>0.2336</v>
      </c>
      <c r="AR47" s="575">
        <f>SQRT(AS47^2+AT47^2)*1000/(1.73*AS18)</f>
        <v>41.533095726974146</v>
      </c>
      <c r="AS47" s="576">
        <v>0.69599999999999995</v>
      </c>
      <c r="AT47" s="577">
        <v>0.22960000000000003</v>
      </c>
      <c r="AU47" s="575">
        <f>SQRT(AV47^2+AW47^2)*1000/(1.73*AV18)</f>
        <v>40.773422748837511</v>
      </c>
      <c r="AV47" s="576">
        <v>0.68159999999999998</v>
      </c>
      <c r="AW47" s="577">
        <v>0.23039999999999999</v>
      </c>
      <c r="AX47" s="575">
        <f>SQRT(AY47^2+AZ47^2)*1000/(1.73*AY18)</f>
        <v>39.670290293167469</v>
      </c>
      <c r="AY47" s="576">
        <v>0.6624000000000001</v>
      </c>
      <c r="AZ47" s="577">
        <v>0.22640000000000002</v>
      </c>
      <c r="BA47" s="575">
        <f>SQRT(BB47^2+BC47^2)*1000/(1.73*BB18)</f>
        <v>40.458306653624888</v>
      </c>
      <c r="BB47" s="576">
        <v>0.67600000000000005</v>
      </c>
      <c r="BC47" s="577">
        <v>0.2296</v>
      </c>
      <c r="BD47" s="575">
        <f>SQRT(BE47^2+BF47^2)*1000/(1.73*BE18)</f>
        <v>41.72025536526936</v>
      </c>
      <c r="BE47" s="576">
        <v>0.7</v>
      </c>
      <c r="BF47" s="577">
        <v>0.22800000000000001</v>
      </c>
      <c r="BG47" s="575">
        <f>SQRT(BH47^2+BI47^2)*1000/(1.73*BH18)</f>
        <v>44.408255414587394</v>
      </c>
      <c r="BH47" s="576">
        <v>0.748</v>
      </c>
      <c r="BI47" s="577">
        <v>0.2336</v>
      </c>
      <c r="BJ47" s="575">
        <f>SQRT(BK47^2+BL47^2)*1000/(1.73*BK18)</f>
        <v>45.55188339657721</v>
      </c>
      <c r="BK47" s="576">
        <v>0.76960000000000006</v>
      </c>
      <c r="BL47" s="577">
        <v>0.23200000000000001</v>
      </c>
      <c r="BM47" s="575">
        <f>SQRT(BN47^2+BO47^2)*1000/(1.73*BN18)</f>
        <v>45.795091907963375</v>
      </c>
      <c r="BN47" s="576">
        <v>0.77359999999999995</v>
      </c>
      <c r="BO47" s="577">
        <v>0.2336</v>
      </c>
      <c r="BP47" s="575">
        <f>SQRT(BQ47^2+BR47^2)*1000/(1.73*BQ18)</f>
        <v>45.027854148009645</v>
      </c>
      <c r="BQ47" s="576">
        <v>0.7592000000000001</v>
      </c>
      <c r="BR47" s="577">
        <v>0.23439999999999997</v>
      </c>
      <c r="BS47" s="575">
        <f>SQRT(BT47^2+BU47^2)*1000/(1.73*BT18)</f>
        <v>43.355491603514984</v>
      </c>
      <c r="BT47" s="576">
        <v>0.72799999999999998</v>
      </c>
      <c r="BU47" s="577">
        <v>0.23519999999999999</v>
      </c>
      <c r="BV47" s="575">
        <f>SQRT(BW47^2+BX47^2)*1000/(1.73*BW18)</f>
        <v>41.12002545155508</v>
      </c>
      <c r="BW47" s="576">
        <v>0.68559999999999988</v>
      </c>
      <c r="BX47" s="577">
        <v>0.23760000000000003</v>
      </c>
      <c r="BY47" s="575">
        <f>SQRT(BZ47^2+CA47^2)*1000/(1.73*BZ18)</f>
        <v>37.760578308863408</v>
      </c>
      <c r="BZ47" s="576">
        <v>0.62159999999999993</v>
      </c>
      <c r="CA47" s="577">
        <v>0.24</v>
      </c>
      <c r="CB47" s="618">
        <f t="shared" si="3"/>
        <v>15.784799999999997</v>
      </c>
      <c r="CC47" s="618">
        <f t="shared" si="3"/>
        <v>5.6352000000000002</v>
      </c>
      <c r="CE47" s="2296" t="s">
        <v>281</v>
      </c>
      <c r="CF47" s="2297"/>
      <c r="CG47" s="2298"/>
    </row>
    <row r="48" spans="1:85" ht="13.5" thickBot="1" x14ac:dyDescent="0.25">
      <c r="A48" s="2296" t="s">
        <v>282</v>
      </c>
      <c r="B48" s="2297"/>
      <c r="C48" s="2298"/>
      <c r="D48" s="1062"/>
      <c r="E48" s="1063"/>
      <c r="F48" s="1064"/>
      <c r="G48" s="1065"/>
      <c r="H48" s="1066">
        <f>SQRT(I48^2+J48^2)*1000/(1.73*I18)</f>
        <v>0.68830223056506756</v>
      </c>
      <c r="I48" s="576">
        <v>1.1599999999999999E-2</v>
      </c>
      <c r="J48" s="577">
        <f>-1*-0.0036</f>
        <v>3.5999999999999999E-3</v>
      </c>
      <c r="K48" s="1066">
        <f>SQRT(L48^2+M48^2)*1000/(1.73*L18)</f>
        <v>0.68830223056506756</v>
      </c>
      <c r="L48" s="576">
        <v>1.1599999999999999E-2</v>
      </c>
      <c r="M48" s="577">
        <f>-1*-0.0036</f>
        <v>3.5999999999999999E-3</v>
      </c>
      <c r="N48" s="1066">
        <f>SQRT(O48^2+P48^2)*1000/(1.73*O18)</f>
        <v>0.68192718832557297</v>
      </c>
      <c r="O48" s="576">
        <v>1.1599999999999999E-2</v>
      </c>
      <c r="P48" s="577">
        <f>-1*-0.0032</f>
        <v>3.2000000000000002E-3</v>
      </c>
      <c r="Q48" s="1066">
        <f>SQRT(R48^2+S48^2)*1000/(1.73*R18)</f>
        <v>0.70380481451932575</v>
      </c>
      <c r="R48" s="576">
        <v>1.2E-2</v>
      </c>
      <c r="S48" s="577">
        <f>-1*-0.0032</f>
        <v>3.2000000000000002E-3</v>
      </c>
      <c r="T48" s="1066">
        <f>SQRT(U48^2+V48^2)*1000/(1.73*U18)</f>
        <v>0.68830223056506756</v>
      </c>
      <c r="U48" s="576">
        <v>1.1599999999999999E-2</v>
      </c>
      <c r="V48" s="577">
        <f>-1*-0.0036</f>
        <v>3.5999999999999999E-3</v>
      </c>
      <c r="W48" s="1066">
        <f>SQRT(X48^2+Y48^2)*1000/(1.73*X18)</f>
        <v>0.68192718832557297</v>
      </c>
      <c r="X48" s="576">
        <v>1.1599999999999999E-2</v>
      </c>
      <c r="Y48" s="577">
        <f>-1*-0.0032</f>
        <v>3.2000000000000002E-3</v>
      </c>
      <c r="Z48" s="1066">
        <f>SQRT(AA48^2+AB48^2)*1000/(1.73*AA18)</f>
        <v>0.75997074075666848</v>
      </c>
      <c r="AA48" s="576">
        <v>1.2800000000000001E-2</v>
      </c>
      <c r="AB48" s="577">
        <f>-1*-0.004</f>
        <v>4.0000000000000001E-3</v>
      </c>
      <c r="AC48" s="1066">
        <f>SQRT(AD48^2+AE48^2)*1000/(1.73*AD18)</f>
        <v>0.80399627568709964</v>
      </c>
      <c r="AD48" s="576">
        <v>1.32E-2</v>
      </c>
      <c r="AE48" s="577">
        <f>-1*-0.0052</f>
        <v>5.1999999999999998E-3</v>
      </c>
      <c r="AF48" s="1066">
        <f>SQRT(AG48^2+AH48^2)*1000/(1.73*AG18)</f>
        <v>1.1542901105269425</v>
      </c>
      <c r="AG48" s="576">
        <v>1.9199999999999998E-2</v>
      </c>
      <c r="AH48" s="577">
        <f>-1*-0.0068</f>
        <v>6.7999999999999996E-3</v>
      </c>
      <c r="AI48" s="1066">
        <f>SQRT(AJ48^2+AK48^2)*1000/(1.73*AJ18)</f>
        <v>1.1128131210367067</v>
      </c>
      <c r="AJ48" s="576">
        <v>1.6399999999999998E-2</v>
      </c>
      <c r="AK48" s="577">
        <f>-1*-0.0108</f>
        <v>1.0800000000000001E-2</v>
      </c>
      <c r="AL48" s="1066">
        <f>SQRT(AM48^2+AN48^2)*1000/(1.73*AM18)</f>
        <v>1.0437143314719564</v>
      </c>
      <c r="AM48" s="576">
        <v>1.52E-2</v>
      </c>
      <c r="AN48" s="577">
        <f>-1*-0.0104</f>
        <v>1.04E-2</v>
      </c>
      <c r="AO48" s="1066">
        <f>SQRT(AP48^2+AQ48^2)*1000/(1.73*AP18)</f>
        <v>0.89215317484549161</v>
      </c>
      <c r="AP48" s="576">
        <v>1.4E-2</v>
      </c>
      <c r="AQ48" s="577">
        <f>-1*-0.0072</f>
        <v>7.1999999999999998E-3</v>
      </c>
      <c r="AR48" s="1066">
        <f>SQRT(AS48^2+AT48^2)*1000/(1.73*AS18)</f>
        <v>0.84146939559200207</v>
      </c>
      <c r="AS48" s="576">
        <v>1.32E-2</v>
      </c>
      <c r="AT48" s="577">
        <f>-1*-0.0068</f>
        <v>6.7999999999999996E-3</v>
      </c>
      <c r="AU48" s="1066">
        <f>SQRT(AV48^2+AW48^2)*1000/(1.73*AV18)</f>
        <v>0.80143577149104328</v>
      </c>
      <c r="AV48" s="576">
        <v>1.2399999999999998E-2</v>
      </c>
      <c r="AW48" s="577">
        <f>-1*-0.0068</f>
        <v>6.7999999999999996E-3</v>
      </c>
      <c r="AX48" s="1066">
        <f>SQRT(AY48^2+AZ48^2)*1000/(1.73*AY18)</f>
        <v>1.1067941168068642</v>
      </c>
      <c r="AY48" s="576">
        <v>1.6E-2</v>
      </c>
      <c r="AZ48" s="577">
        <f>-1*-0.0112</f>
        <v>1.12E-2</v>
      </c>
      <c r="BA48" s="1066">
        <f>SQRT(BB48^2+BC48^2)*1000/(1.73*BB18)</f>
        <v>1.1390542469818534</v>
      </c>
      <c r="BB48" s="576">
        <v>1.7200000000000003E-2</v>
      </c>
      <c r="BC48" s="577">
        <f>-1*-0.0104</f>
        <v>1.04E-2</v>
      </c>
      <c r="BD48" s="1066">
        <f>SQRT(BE48^2+BF48^2)*1000/(1.73*BE18)</f>
        <v>1.191312101867475</v>
      </c>
      <c r="BE48" s="576">
        <v>1.9600000000000003E-2</v>
      </c>
      <c r="BF48" s="577">
        <f>-1*-0.0076</f>
        <v>7.6E-3</v>
      </c>
      <c r="BG48" s="1066">
        <f>SQRT(BH48^2+BI48^2)*1000/(1.73*BH18)</f>
        <v>1.0904239801251907</v>
      </c>
      <c r="BH48" s="576">
        <v>1.7999999999999999E-2</v>
      </c>
      <c r="BI48" s="577">
        <f>-1*-0.0068</f>
        <v>6.7999999999999996E-3</v>
      </c>
      <c r="BJ48" s="1066">
        <f>SQRT(BK48^2+BL48^2)*1000/(1.73*BK18)</f>
        <v>0.91265202943204793</v>
      </c>
      <c r="BK48" s="576">
        <v>1.5599999999999999E-2</v>
      </c>
      <c r="BL48" s="577">
        <f>-1*-0.004</f>
        <v>4.0000000000000001E-3</v>
      </c>
      <c r="BM48" s="1066">
        <f>SQRT(BN48^2+BO48^2)*1000/(1.73*BN18)</f>
        <v>0.78163616228342603</v>
      </c>
      <c r="BN48" s="576">
        <v>1.32E-2</v>
      </c>
      <c r="BO48" s="577">
        <f>-1*-0.004</f>
        <v>4.0000000000000001E-3</v>
      </c>
      <c r="BP48" s="1066">
        <f>SQRT(BQ48^2+BR48^2)*1000/(1.73*BQ18)</f>
        <v>0.74770134885960082</v>
      </c>
      <c r="BQ48" s="576">
        <v>1.2800000000000001E-2</v>
      </c>
      <c r="BR48" s="577">
        <f>-1*-0.0032</f>
        <v>3.2000000000000002E-3</v>
      </c>
      <c r="BS48" s="1066">
        <f>SQRT(BT48^2+BU48^2)*1000/(1.73*BT18)</f>
        <v>0.7425292691446993</v>
      </c>
      <c r="BT48" s="576">
        <v>1.2800000000000001E-2</v>
      </c>
      <c r="BU48" s="577">
        <f>-1*-0.0028</f>
        <v>2.8E-3</v>
      </c>
      <c r="BV48" s="1066">
        <f>SQRT(BW48^2+BX48^2)*1000/(1.73*BW18)</f>
        <v>0.72573095743316907</v>
      </c>
      <c r="BW48" s="576">
        <v>1.24E-2</v>
      </c>
      <c r="BX48" s="577">
        <f>-1*-0.0032</f>
        <v>3.2000000000000002E-3</v>
      </c>
      <c r="BY48" s="1066">
        <f>SQRT(BZ48^2+CA48^2)*1000/(1.73*BZ18)</f>
        <v>0.71574989930168631</v>
      </c>
      <c r="BZ48" s="576">
        <v>1.24E-2</v>
      </c>
      <c r="CA48" s="577">
        <f>-1*-0.0024</f>
        <v>2.3999999999999998E-3</v>
      </c>
      <c r="CB48" s="618">
        <f t="shared" si="3"/>
        <v>0.33639999999999998</v>
      </c>
      <c r="CC48" s="618">
        <f t="shared" si="3"/>
        <v>0.13399999999999998</v>
      </c>
      <c r="CE48" s="2296" t="s">
        <v>283</v>
      </c>
      <c r="CF48" s="2297"/>
      <c r="CG48" s="2298"/>
    </row>
    <row r="49" spans="1:80" ht="14.25" customHeight="1" thickBot="1" x14ac:dyDescent="0.25">
      <c r="A49" s="2375" t="s">
        <v>19</v>
      </c>
      <c r="B49" s="2376"/>
      <c r="C49" s="2376"/>
      <c r="D49" s="2376"/>
      <c r="E49" s="2376"/>
      <c r="F49" s="2376"/>
      <c r="G49" s="2376"/>
      <c r="H49" s="1067"/>
      <c r="I49" s="1007"/>
      <c r="J49" s="1068"/>
      <c r="K49" s="1067"/>
      <c r="L49" s="1007"/>
      <c r="M49" s="1068"/>
      <c r="N49" s="1067"/>
      <c r="O49" s="1007"/>
      <c r="P49" s="1068"/>
      <c r="Q49" s="1067"/>
      <c r="R49" s="1007"/>
      <c r="S49" s="1068"/>
      <c r="T49" s="1067"/>
      <c r="U49" s="1007"/>
      <c r="V49" s="1068"/>
      <c r="W49" s="1067"/>
      <c r="X49" s="1007"/>
      <c r="Y49" s="1068"/>
      <c r="Z49" s="1067"/>
      <c r="AA49" s="1007"/>
      <c r="AB49" s="1068"/>
      <c r="AC49" s="1067"/>
      <c r="AD49" s="1007"/>
      <c r="AE49" s="1068"/>
      <c r="AF49" s="1067"/>
      <c r="AG49" s="1007"/>
      <c r="AH49" s="1068"/>
      <c r="AI49" s="1067"/>
      <c r="AJ49" s="1007"/>
      <c r="AK49" s="1068"/>
      <c r="AL49" s="1067"/>
      <c r="AM49" s="1007"/>
      <c r="AN49" s="1068"/>
      <c r="AO49" s="1067"/>
      <c r="AP49" s="1007"/>
      <c r="AQ49" s="1068"/>
      <c r="AR49" s="1067"/>
      <c r="AS49" s="1007"/>
      <c r="AT49" s="1068"/>
      <c r="AU49" s="1067"/>
      <c r="AV49" s="1007"/>
      <c r="AW49" s="1068"/>
      <c r="AX49" s="1067"/>
      <c r="AY49" s="1007"/>
      <c r="AZ49" s="1068"/>
      <c r="BA49" s="1067"/>
      <c r="BB49" s="1007"/>
      <c r="BC49" s="1068"/>
      <c r="BD49" s="1067"/>
      <c r="BE49" s="1007"/>
      <c r="BF49" s="1068"/>
      <c r="BG49" s="1067"/>
      <c r="BH49" s="1007"/>
      <c r="BI49" s="1068"/>
      <c r="BJ49" s="1067"/>
      <c r="BK49" s="1007"/>
      <c r="BL49" s="1068"/>
      <c r="BM49" s="1067"/>
      <c r="BN49" s="1007"/>
      <c r="BO49" s="1068"/>
      <c r="BP49" s="1067"/>
      <c r="BQ49" s="1007"/>
      <c r="BR49" s="1068"/>
      <c r="BS49" s="1067"/>
      <c r="BT49" s="1007"/>
      <c r="BU49" s="1068"/>
      <c r="BV49" s="1067"/>
      <c r="BW49" s="1007"/>
      <c r="BX49" s="1068"/>
      <c r="BY49" s="1067"/>
      <c r="BZ49" s="1007"/>
      <c r="CA49" s="1068"/>
      <c r="CB49" s="986"/>
    </row>
    <row r="50" spans="1:80" ht="15" customHeight="1" x14ac:dyDescent="0.2">
      <c r="A50" s="872"/>
      <c r="B50" s="873" t="s">
        <v>22</v>
      </c>
      <c r="C50" s="874"/>
      <c r="D50" s="875" t="s">
        <v>202</v>
      </c>
      <c r="E50" s="874"/>
      <c r="F50" s="874"/>
      <c r="G50" s="874"/>
      <c r="H50" s="876">
        <v>2.5499999999999998E-2</v>
      </c>
      <c r="I50" s="1069" t="s">
        <v>2</v>
      </c>
      <c r="J50" s="878">
        <v>0.1729</v>
      </c>
      <c r="K50" s="876"/>
      <c r="L50" s="1069"/>
      <c r="M50" s="878"/>
      <c r="N50" s="876"/>
      <c r="O50" s="1069"/>
      <c r="P50" s="878"/>
      <c r="Q50" s="876"/>
      <c r="R50" s="1069"/>
      <c r="S50" s="878"/>
      <c r="T50" s="876"/>
      <c r="U50" s="1069"/>
      <c r="V50" s="878"/>
      <c r="W50" s="876"/>
      <c r="X50" s="1069"/>
      <c r="Y50" s="878"/>
      <c r="Z50" s="876"/>
      <c r="AA50" s="1069"/>
      <c r="AB50" s="878"/>
      <c r="AC50" s="876"/>
      <c r="AD50" s="1069"/>
      <c r="AE50" s="878"/>
      <c r="AF50" s="876"/>
      <c r="AG50" s="1069"/>
      <c r="AH50" s="878"/>
      <c r="AI50" s="876"/>
      <c r="AJ50" s="1069"/>
      <c r="AK50" s="878"/>
      <c r="AL50" s="876"/>
      <c r="AM50" s="1069"/>
      <c r="AN50" s="878"/>
      <c r="AO50" s="876"/>
      <c r="AP50" s="1069"/>
      <c r="AQ50" s="878"/>
      <c r="AR50" s="876"/>
      <c r="AS50" s="1069"/>
      <c r="AT50" s="878"/>
      <c r="AU50" s="876"/>
      <c r="AV50" s="1069"/>
      <c r="AW50" s="878"/>
      <c r="AX50" s="876"/>
      <c r="AY50" s="1069"/>
      <c r="AZ50" s="878"/>
      <c r="BA50" s="876"/>
      <c r="BB50" s="1069"/>
      <c r="BC50" s="878"/>
      <c r="BD50" s="876"/>
      <c r="BE50" s="1069"/>
      <c r="BF50" s="878"/>
      <c r="BG50" s="876"/>
      <c r="BH50" s="1069"/>
      <c r="BI50" s="878"/>
      <c r="BJ50" s="876"/>
      <c r="BK50" s="1069"/>
      <c r="BL50" s="878"/>
      <c r="BM50" s="876"/>
      <c r="BN50" s="1069"/>
      <c r="BO50" s="878"/>
      <c r="BP50" s="876"/>
      <c r="BQ50" s="1069"/>
      <c r="BR50" s="878"/>
      <c r="BS50" s="876"/>
      <c r="BT50" s="1069"/>
      <c r="BU50" s="878"/>
      <c r="BV50" s="876"/>
      <c r="BW50" s="1069"/>
      <c r="BX50" s="878"/>
      <c r="BY50" s="876"/>
      <c r="BZ50" s="1069"/>
      <c r="CA50" s="878"/>
      <c r="CB50" s="986"/>
    </row>
    <row r="51" spans="1:80" ht="15.75" customHeight="1" x14ac:dyDescent="0.2">
      <c r="A51" s="879" t="s">
        <v>0</v>
      </c>
      <c r="B51" s="880" t="s">
        <v>23</v>
      </c>
      <c r="C51" s="881"/>
      <c r="D51" s="882" t="s">
        <v>24</v>
      </c>
      <c r="E51" s="883"/>
      <c r="F51" s="774"/>
      <c r="G51" s="882"/>
      <c r="H51" s="966">
        <f>(SUM(I$8*I$8,J$8*J$8)/POWER($C$7,2))*$C$52</f>
        <v>8.1889478557772791E-3</v>
      </c>
      <c r="I51" s="877" t="s">
        <v>2</v>
      </c>
      <c r="J51" s="885">
        <f>($E$52/100)*(SUM(I$8*I$8,J$8*J$8)/$C$7)</f>
        <v>0.16906214928056318</v>
      </c>
      <c r="K51" s="966">
        <f>(SUM(L$8*L$8,M$8*M$8)/POWER($C$7,2))*$C$52</f>
        <v>7.3461711370284045E-3</v>
      </c>
      <c r="L51" s="877" t="s">
        <v>2</v>
      </c>
      <c r="M51" s="885">
        <f>($E$52/100)*(SUM(L$8*L$8,M$8*M$8)/$C$7)</f>
        <v>0.15166288799026384</v>
      </c>
      <c r="N51" s="966">
        <f>(SUM(O$8*O$8,P$8*P$8)/POWER($C$7,2))*$C$52</f>
        <v>6.8464638527986708E-3</v>
      </c>
      <c r="O51" s="877" t="s">
        <v>2</v>
      </c>
      <c r="P51" s="885">
        <f>($E$52/100)*(SUM(O$8*O$8,P$8*P$8)/$C$7)</f>
        <v>0.14134635050939193</v>
      </c>
      <c r="Q51" s="966">
        <f>(SUM(R$8*R$8,S$8*S$8)/POWER($C$7,2))*$C$52</f>
        <v>6.7728326750353431E-3</v>
      </c>
      <c r="R51" s="877" t="s">
        <v>2</v>
      </c>
      <c r="S51" s="885">
        <f>($E$52/100)*(SUM(R$8*R$8,S$8*S$8)/$C$7)</f>
        <v>0.13982622296847158</v>
      </c>
      <c r="T51" s="966">
        <f>(SUM(U$8*U$8,V$8*V$8)/POWER($C$7,2))*$C$52</f>
        <v>6.8565496776518652E-3</v>
      </c>
      <c r="U51" s="877" t="s">
        <v>2</v>
      </c>
      <c r="V51" s="885">
        <f>($E$52/100)*(SUM(U$8*U$8,V$8*V$8)/$C$7)</f>
        <v>0.14155457399023205</v>
      </c>
      <c r="W51" s="966">
        <f>(SUM(X$8*X$8,Y$8*Y$8)/POWER($C$7,2))*$C$52</f>
        <v>7.462002292871063E-3</v>
      </c>
      <c r="X51" s="877" t="s">
        <v>2</v>
      </c>
      <c r="Y51" s="885">
        <f>($E$52/100)*(SUM(X$8*X$8,Y$8*Y$8)/$C$7)</f>
        <v>0.15405424088508002</v>
      </c>
      <c r="Z51" s="966">
        <f>(SUM(AA$8*AA$8,AB$8*AB$8)/POWER($C$7,2))*$C$52</f>
        <v>9.5781870752940038E-3</v>
      </c>
      <c r="AA51" s="877" t="s">
        <v>2</v>
      </c>
      <c r="AB51" s="885">
        <f>($E$52/100)*(SUM(AA$8*AA$8,AB$8*AB$8)/$C$7)</f>
        <v>0.19774321703832784</v>
      </c>
      <c r="AC51" s="966">
        <f>(SUM(AD$8*AD$8,AE$8*AE$8)/POWER($C$7,2))*$C$52</f>
        <v>1.1764082920072602E-2</v>
      </c>
      <c r="AD51" s="877" t="s">
        <v>2</v>
      </c>
      <c r="AE51" s="885">
        <f>($E$52/100)*(SUM(AD$8*AD$8,AE$8*AE$8)/$C$7)</f>
        <v>0.24287138931762794</v>
      </c>
      <c r="AF51" s="966">
        <f>(SUM(AG$8*AG$8,AH$8*AH$8)/POWER($C$7,2))*$C$52</f>
        <v>1.2681458620771534E-2</v>
      </c>
      <c r="AG51" s="877" t="s">
        <v>2</v>
      </c>
      <c r="AH51" s="885">
        <f>($E$52/100)*(SUM(AG$8*AG$8,AH$8*AH$8)/$C$7)</f>
        <v>0.26181075862238007</v>
      </c>
      <c r="AI51" s="966">
        <f>(SUM(AJ$8*AJ$8,AK$8*AK$8)/POWER($C$7,2))*$C$52</f>
        <v>1.2982457704759091E-2</v>
      </c>
      <c r="AJ51" s="877" t="s">
        <v>2</v>
      </c>
      <c r="AK51" s="885">
        <f>($E$52/100)*(SUM(AJ$8*AJ$8,AK$8*AK$8)/$C$7)</f>
        <v>0.26802493325954252</v>
      </c>
      <c r="AL51" s="966">
        <f>(SUM(AM$8*AM$8,AN$8*AN$8)/POWER($C$7,2))*$C$52</f>
        <v>1.3198214389755386E-2</v>
      </c>
      <c r="AM51" s="877" t="s">
        <v>2</v>
      </c>
      <c r="AN51" s="885">
        <f>($E$52/100)*(SUM(AM$8*AM$8,AN$8*AN$8)/$C$7)</f>
        <v>0.27247926482075635</v>
      </c>
      <c r="AO51" s="966">
        <f>(SUM(AP$8*AP$8,AQ$8*AQ$8)/POWER($C$7,2))*$C$52</f>
        <v>1.3519194193390285E-2</v>
      </c>
      <c r="AP51" s="877" t="s">
        <v>2</v>
      </c>
      <c r="AQ51" s="885">
        <f>($E$52/100)*(SUM(AP$8*AP$8,AQ$8*AQ$8)/$C$7)</f>
        <v>0.27910594463773492</v>
      </c>
      <c r="AR51" s="966">
        <f>(SUM(AS$8*AS$8,AT$8*AT$8)/POWER($C$7,2))*$C$52</f>
        <v>1.3873205399334091E-2</v>
      </c>
      <c r="AS51" s="877" t="s">
        <v>2</v>
      </c>
      <c r="AT51" s="885">
        <f>($E$52/100)*(SUM(AS$8*AS$8,AT$8*AT$8)/$C$7)</f>
        <v>0.28641456308302643</v>
      </c>
      <c r="AU51" s="966">
        <f>(SUM(AV$8*AV$8,AW$8*AW$8)/POWER($C$7,2))*$C$52</f>
        <v>1.3469416451585538E-2</v>
      </c>
      <c r="AV51" s="877" t="s">
        <v>2</v>
      </c>
      <c r="AW51" s="885">
        <f>($E$52/100)*(SUM(AV$8*AV$8,AW$8*AW$8)/$C$7)</f>
        <v>0.27807827512950789</v>
      </c>
      <c r="AX51" s="966">
        <f>(SUM(AY$8*AY$8,AZ$8*AZ$8)/POWER($C$7,2))*$C$52</f>
        <v>1.3077464009677518E-2</v>
      </c>
      <c r="AY51" s="877" t="s">
        <v>2</v>
      </c>
      <c r="AZ51" s="885">
        <f>($E$52/100)*(SUM(AY$8*AY$8,AZ$8*AZ$8)/$C$7)</f>
        <v>0.26998635374818103</v>
      </c>
      <c r="BA51" s="966">
        <f>(SUM(BB$8*BB$8,BC$8*BC$8)/POWER($C$7,2))*$C$52</f>
        <v>1.3723930284476726E-2</v>
      </c>
      <c r="BB51" s="877" t="s">
        <v>2</v>
      </c>
      <c r="BC51" s="885">
        <f>($E$52/100)*(SUM(BB$8*BB$8,BC$8*BC$8)/$C$7)</f>
        <v>0.28333275426016469</v>
      </c>
      <c r="BD51" s="966">
        <f>(SUM(BE$8*BE$8,BF$8*BF$8)/POWER($C$7,2))*$C$52</f>
        <v>1.4602772774538341E-2</v>
      </c>
      <c r="BE51" s="877" t="s">
        <v>2</v>
      </c>
      <c r="BF51" s="885">
        <f>($E$52/100)*(SUM(BE$8*BE$8,BF$8*BF$8)/$C$7)</f>
        <v>0.30147659921627545</v>
      </c>
      <c r="BG51" s="966">
        <f>(SUM(BH$8*BH$8,BI$8*BI$8)/POWER($C$7,2))*$C$52</f>
        <v>1.490009824659496E-2</v>
      </c>
      <c r="BH51" s="877" t="s">
        <v>2</v>
      </c>
      <c r="BI51" s="885">
        <f>($E$52/100)*(SUM(BH$8*BH$8,BI$8*BI$8)/$C$7)</f>
        <v>0.30761493154260561</v>
      </c>
      <c r="BJ51" s="966">
        <f>(SUM(BK$8*BK$8,BL$8*BL$8)/POWER($C$7,2))*$C$52</f>
        <v>1.5626095898495188E-2</v>
      </c>
      <c r="BK51" s="877" t="s">
        <v>2</v>
      </c>
      <c r="BL51" s="885">
        <f>($E$52/100)*(SUM(BK$8*BK$8,BL$8*BL$8)/$C$7)</f>
        <v>0.32260327016248125</v>
      </c>
      <c r="BM51" s="966">
        <f>(SUM(BN$8*BN$8,BO$8*BO$8)/POWER($C$7,2))*$C$52</f>
        <v>1.5641459265043459E-2</v>
      </c>
      <c r="BN51" s="877" t="s">
        <v>2</v>
      </c>
      <c r="BO51" s="885">
        <f>($E$52/100)*(SUM(BN$8*BN$8,BO$8*BO$8)/$C$7)</f>
        <v>0.3229204493428327</v>
      </c>
      <c r="BP51" s="966">
        <f>(SUM(BQ$8*BQ$8,BR$8*BR$8)/POWER($C$7,2))*$C$52</f>
        <v>1.4845868387182075E-2</v>
      </c>
      <c r="BQ51" s="877" t="s">
        <v>2</v>
      </c>
      <c r="BR51" s="885">
        <f>($E$52/100)*(SUM(BQ$8*BQ$8,BR$8*BR$8)/$C$7)</f>
        <v>0.3064953473482751</v>
      </c>
      <c r="BS51" s="966">
        <f>(SUM(BT$8*BT$8,BU$8*BU$8)/POWER($C$7,2))*$C$52</f>
        <v>1.3792449909987636E-2</v>
      </c>
      <c r="BT51" s="877" t="s">
        <v>2</v>
      </c>
      <c r="BU51" s="885">
        <f>($E$52/100)*(SUM(BT$8*BT$8,BU$8*BU$8)/$C$7)</f>
        <v>0.28474735298038995</v>
      </c>
      <c r="BV51" s="966">
        <f>(SUM(BW$8*BW$8,BX$8*BX$8)/POWER($C$7,2))*$C$52</f>
        <v>1.1946749342663782E-2</v>
      </c>
      <c r="BW51" s="877" t="s">
        <v>2</v>
      </c>
      <c r="BX51" s="885">
        <f>($E$52/100)*(SUM(BW$8*BW$8,BX$8*BX$8)/$C$7)</f>
        <v>0.24664256707434906</v>
      </c>
      <c r="BY51" s="966">
        <f>(SUM(BZ$8*BZ$8,CA$8*CA$8)/POWER($C$7,2))*$C$52</f>
        <v>9.843648784676251E-3</v>
      </c>
      <c r="BZ51" s="877" t="s">
        <v>2</v>
      </c>
      <c r="CA51" s="885">
        <f>($E$52/100)*(SUM(BZ$8*BZ$8,CA$8*CA$8)/$C$7)</f>
        <v>0.20322371684492907</v>
      </c>
      <c r="CB51" s="986"/>
    </row>
    <row r="52" spans="1:80" ht="14.25" customHeight="1" thickBot="1" x14ac:dyDescent="0.25">
      <c r="A52" s="886"/>
      <c r="B52" s="776" t="s">
        <v>26</v>
      </c>
      <c r="C52" s="777">
        <v>0.124</v>
      </c>
      <c r="D52" s="778" t="s">
        <v>27</v>
      </c>
      <c r="E52" s="2309">
        <v>10.24</v>
      </c>
      <c r="F52" s="2309"/>
      <c r="G52" s="473"/>
      <c r="H52" s="887"/>
      <c r="I52" s="888"/>
      <c r="J52" s="889"/>
      <c r="K52" s="887"/>
      <c r="L52" s="888"/>
      <c r="M52" s="889"/>
      <c r="N52" s="887"/>
      <c r="O52" s="888"/>
      <c r="P52" s="889"/>
      <c r="Q52" s="887"/>
      <c r="R52" s="888"/>
      <c r="S52" s="889"/>
      <c r="T52" s="887"/>
      <c r="U52" s="888"/>
      <c r="V52" s="889"/>
      <c r="W52" s="887"/>
      <c r="X52" s="888"/>
      <c r="Y52" s="889"/>
      <c r="Z52" s="887"/>
      <c r="AA52" s="888"/>
      <c r="AB52" s="889"/>
      <c r="AC52" s="887"/>
      <c r="AD52" s="888"/>
      <c r="AE52" s="889"/>
      <c r="AF52" s="887"/>
      <c r="AG52" s="888"/>
      <c r="AH52" s="889"/>
      <c r="AI52" s="887"/>
      <c r="AJ52" s="888"/>
      <c r="AK52" s="889"/>
      <c r="AL52" s="887"/>
      <c r="AM52" s="888"/>
      <c r="AN52" s="889"/>
      <c r="AO52" s="887"/>
      <c r="AP52" s="888"/>
      <c r="AQ52" s="889"/>
      <c r="AR52" s="887"/>
      <c r="AS52" s="888"/>
      <c r="AT52" s="889"/>
      <c r="AU52" s="887"/>
      <c r="AV52" s="888"/>
      <c r="AW52" s="889"/>
      <c r="AX52" s="887"/>
      <c r="AY52" s="888"/>
      <c r="AZ52" s="889"/>
      <c r="BA52" s="887"/>
      <c r="BB52" s="888"/>
      <c r="BC52" s="889"/>
      <c r="BD52" s="887"/>
      <c r="BE52" s="888"/>
      <c r="BF52" s="889"/>
      <c r="BG52" s="887"/>
      <c r="BH52" s="888"/>
      <c r="BI52" s="889"/>
      <c r="BJ52" s="887"/>
      <c r="BK52" s="888"/>
      <c r="BL52" s="889"/>
      <c r="BM52" s="887"/>
      <c r="BN52" s="888"/>
      <c r="BO52" s="889"/>
      <c r="BP52" s="887"/>
      <c r="BQ52" s="888"/>
      <c r="BR52" s="889"/>
      <c r="BS52" s="887"/>
      <c r="BT52" s="888"/>
      <c r="BU52" s="889"/>
      <c r="BV52" s="887"/>
      <c r="BW52" s="888"/>
      <c r="BX52" s="889"/>
      <c r="BY52" s="887"/>
      <c r="BZ52" s="888"/>
      <c r="CA52" s="889"/>
      <c r="CB52" s="986"/>
    </row>
    <row r="53" spans="1:80" ht="14.25" customHeight="1" thickBot="1" x14ac:dyDescent="0.25">
      <c r="A53" s="890"/>
      <c r="B53" s="2310" t="s">
        <v>29</v>
      </c>
      <c r="C53" s="2311"/>
      <c r="D53" s="2311"/>
      <c r="E53" s="2311"/>
      <c r="F53" s="2311"/>
      <c r="G53" s="2311"/>
      <c r="H53" s="891">
        <f>SUM(I8,$H$50,H51)</f>
        <v>6.3713929478557771</v>
      </c>
      <c r="I53" s="892" t="s">
        <v>2</v>
      </c>
      <c r="J53" s="893">
        <f>SUM(J8,$J$50,J51)</f>
        <v>1.394790149280563</v>
      </c>
      <c r="K53" s="891">
        <f>SUM(L8,$H$50,K51)</f>
        <v>6.0240181711370289</v>
      </c>
      <c r="L53" s="892" t="s">
        <v>2</v>
      </c>
      <c r="M53" s="893">
        <f>SUM(M8,$J$50,M51)</f>
        <v>1.388954887990264</v>
      </c>
      <c r="N53" s="891">
        <f>SUM(O8,$H$50,N51)</f>
        <v>5.8095504638527995</v>
      </c>
      <c r="O53" s="892" t="s">
        <v>2</v>
      </c>
      <c r="P53" s="893">
        <f>SUM(P8,$J$50,P51)</f>
        <v>1.3783423505093921</v>
      </c>
      <c r="Q53" s="891">
        <f>SUM(R8,$H$50,Q51)</f>
        <v>5.7774768326750356</v>
      </c>
      <c r="R53" s="892" t="s">
        <v>2</v>
      </c>
      <c r="S53" s="893">
        <f>SUM(S8,$J$50,S51)</f>
        <v>1.3756902229684718</v>
      </c>
      <c r="T53" s="891">
        <f>SUM(U8,$H$50,T51)</f>
        <v>5.8131965496776514</v>
      </c>
      <c r="U53" s="892" t="s">
        <v>2</v>
      </c>
      <c r="V53" s="893">
        <f>SUM(V8,$J$50,V51)</f>
        <v>1.382682573990232</v>
      </c>
      <c r="W53" s="891">
        <f>SUM(X8,$H$50,W51)</f>
        <v>6.0692340022928706</v>
      </c>
      <c r="X53" s="892" t="s">
        <v>2</v>
      </c>
      <c r="Y53" s="893">
        <f>SUM(Y8,$J$50,Y51)</f>
        <v>1.4106142408850799</v>
      </c>
      <c r="Z53" s="891">
        <f>SUM(AA8,$H$50,Z51)</f>
        <v>6.8968861870752951</v>
      </c>
      <c r="AA53" s="892" t="s">
        <v>2</v>
      </c>
      <c r="AB53" s="893">
        <f>SUM(AB8,$J$50,AB51)</f>
        <v>1.4627712170383276</v>
      </c>
      <c r="AC53" s="891">
        <f>SUM(AD8,$H$50,AC51)</f>
        <v>7.6557960829200731</v>
      </c>
      <c r="AD53" s="892" t="s">
        <v>2</v>
      </c>
      <c r="AE53" s="893">
        <f>SUM(AE8,$J$50,AE51)</f>
        <v>1.5350313893176279</v>
      </c>
      <c r="AF53" s="891">
        <f>SUM(AG8,$H$50,AF51)</f>
        <v>7.9564054586207718</v>
      </c>
      <c r="AG53" s="892" t="s">
        <v>2</v>
      </c>
      <c r="AH53" s="893">
        <f>SUM(AH8,$J$50,AH51)</f>
        <v>1.5394147586223803</v>
      </c>
      <c r="AI53" s="891">
        <f>SUM(AJ8,$H$50,AI51)</f>
        <v>8.0546704577047574</v>
      </c>
      <c r="AJ53" s="892" t="s">
        <v>2</v>
      </c>
      <c r="AK53" s="893">
        <f>SUM(AK8,$J$50,AK51)</f>
        <v>1.5255929332595428</v>
      </c>
      <c r="AL53" s="891">
        <f>SUM(AM8,$H$50,AL51)</f>
        <v>8.1194102143897524</v>
      </c>
      <c r="AM53" s="892" t="s">
        <v>2</v>
      </c>
      <c r="AN53" s="893">
        <f>SUM(AN8,$J$50,AN51)</f>
        <v>1.5523352648207565</v>
      </c>
      <c r="AO53" s="891">
        <f>SUM(AP8,$H$50,AO51)</f>
        <v>8.2174431941933896</v>
      </c>
      <c r="AP53" s="892" t="s">
        <v>2</v>
      </c>
      <c r="AQ53" s="893">
        <f>SUM(AQ8,$J$50,AQ51)</f>
        <v>1.5720419446377349</v>
      </c>
      <c r="AR53" s="891">
        <f>SUM(AS8,$H$50,AR51)</f>
        <v>8.3222372053993325</v>
      </c>
      <c r="AS53" s="892" t="s">
        <v>2</v>
      </c>
      <c r="AT53" s="893">
        <f>SUM(AT8,$J$50,AT51)</f>
        <v>1.6080505630830266</v>
      </c>
      <c r="AU53" s="891">
        <f>SUM(AV8,$H$50,AU51)</f>
        <v>8.2009014164515843</v>
      </c>
      <c r="AV53" s="892" t="s">
        <v>2</v>
      </c>
      <c r="AW53" s="893">
        <f>SUM(AW8,$J$50,AW51)</f>
        <v>1.5792822751295079</v>
      </c>
      <c r="AX53" s="891">
        <f>SUM(AY8,$H$50,AX51)</f>
        <v>8.0775334640096776</v>
      </c>
      <c r="AY53" s="892" t="s">
        <v>2</v>
      </c>
      <c r="AZ53" s="893">
        <f>SUM(AZ8,$J$50,AZ51)</f>
        <v>1.5785903537481811</v>
      </c>
      <c r="BA53" s="891">
        <f>SUM(BB8,$H$50,BA51)</f>
        <v>8.2861159302844776</v>
      </c>
      <c r="BB53" s="892" t="s">
        <v>2</v>
      </c>
      <c r="BC53" s="893">
        <f>SUM(BC8,$J$50,BC51)</f>
        <v>1.5341047542601647</v>
      </c>
      <c r="BD53" s="891">
        <f>SUM(BE8,$H$50,BD51)</f>
        <v>8.5560027727745371</v>
      </c>
      <c r="BE53" s="892" t="s">
        <v>2</v>
      </c>
      <c r="BF53" s="893">
        <f>SUM(BF8,$J$50,BF51)</f>
        <v>1.5146325992162755</v>
      </c>
      <c r="BG53" s="891">
        <f>SUM(BH8,$H$50,BG51)</f>
        <v>8.6435120982465925</v>
      </c>
      <c r="BH53" s="892" t="s">
        <v>2</v>
      </c>
      <c r="BI53" s="893">
        <f>SUM(BI8,$J$50,BI51)</f>
        <v>1.5234749315426055</v>
      </c>
      <c r="BJ53" s="891">
        <f>SUM(BK8,$H$50,BJ51)</f>
        <v>8.8502820958984962</v>
      </c>
      <c r="BK53" s="892" t="s">
        <v>2</v>
      </c>
      <c r="BL53" s="893">
        <f>SUM(BL8,$J$50,BL51)</f>
        <v>1.5722272701624813</v>
      </c>
      <c r="BM53" s="891">
        <f>SUM(BN8,$H$50,BM51)</f>
        <v>8.8546094592650437</v>
      </c>
      <c r="BN53" s="892" t="s">
        <v>2</v>
      </c>
      <c r="BO53" s="893">
        <f>SUM(BO8,$J$50,BO51)</f>
        <v>1.5732164493428331</v>
      </c>
      <c r="BP53" s="891">
        <f>SUM(BQ8,$H$50,BP51)</f>
        <v>8.6276058683871799</v>
      </c>
      <c r="BQ53" s="892" t="s">
        <v>2</v>
      </c>
      <c r="BR53" s="893">
        <f>SUM(BR8,$J$50,BR51)</f>
        <v>1.5219553473482752</v>
      </c>
      <c r="BS53" s="891">
        <f>SUM(BT8,$H$50,BS51)</f>
        <v>8.3102004499099866</v>
      </c>
      <c r="BT53" s="892" t="s">
        <v>2</v>
      </c>
      <c r="BU53" s="893">
        <f>SUM(BU8,$J$50,BU51)</f>
        <v>1.51143935298039</v>
      </c>
      <c r="BV53" s="891">
        <f>SUM(BW8,$H$50,BV51)</f>
        <v>7.7236907493426639</v>
      </c>
      <c r="BW53" s="892" t="s">
        <v>2</v>
      </c>
      <c r="BX53" s="893">
        <f>SUM(BX8,$J$50,BX51)</f>
        <v>1.4859025670743491</v>
      </c>
      <c r="BY53" s="891">
        <f>SUM(BZ8,$H$50,BY51)</f>
        <v>6.9969316487846775</v>
      </c>
      <c r="BZ53" s="892" t="s">
        <v>2</v>
      </c>
      <c r="CA53" s="893">
        <f>SUM(CA8,$J$50,CA51)</f>
        <v>1.4491837168449293</v>
      </c>
      <c r="CB53" s="986"/>
    </row>
    <row r="54" spans="1:80" x14ac:dyDescent="0.2">
      <c r="A54" s="894"/>
      <c r="B54" s="873" t="s">
        <v>22</v>
      </c>
      <c r="C54" s="874"/>
      <c r="D54" s="875" t="s">
        <v>202</v>
      </c>
      <c r="E54" s="874"/>
      <c r="F54" s="874"/>
      <c r="G54" s="874"/>
      <c r="H54" s="876">
        <v>2.8299999999999999E-2</v>
      </c>
      <c r="I54" s="1069" t="s">
        <v>2</v>
      </c>
      <c r="J54" s="895">
        <v>0.1729</v>
      </c>
      <c r="K54" s="876">
        <v>2.8299999999999999E-2</v>
      </c>
      <c r="L54" s="1069" t="s">
        <v>2</v>
      </c>
      <c r="M54" s="895">
        <v>0.1729</v>
      </c>
      <c r="N54" s="876">
        <v>2.8299999999999999E-2</v>
      </c>
      <c r="O54" s="1069" t="s">
        <v>2</v>
      </c>
      <c r="P54" s="895">
        <v>0.1729</v>
      </c>
      <c r="Q54" s="876">
        <v>2.8299999999999999E-2</v>
      </c>
      <c r="R54" s="1069" t="s">
        <v>2</v>
      </c>
      <c r="S54" s="895">
        <v>0.1729</v>
      </c>
      <c r="T54" s="876">
        <v>2.8299999999999999E-2</v>
      </c>
      <c r="U54" s="1069" t="s">
        <v>2</v>
      </c>
      <c r="V54" s="895">
        <v>0.1729</v>
      </c>
      <c r="W54" s="876">
        <v>2.8299999999999999E-2</v>
      </c>
      <c r="X54" s="1069" t="s">
        <v>2</v>
      </c>
      <c r="Y54" s="895">
        <v>0.1729</v>
      </c>
      <c r="Z54" s="876">
        <v>2.8299999999999999E-2</v>
      </c>
      <c r="AA54" s="1069" t="s">
        <v>2</v>
      </c>
      <c r="AB54" s="895">
        <v>0.1729</v>
      </c>
      <c r="AC54" s="876">
        <v>2.8299999999999999E-2</v>
      </c>
      <c r="AD54" s="1069" t="s">
        <v>2</v>
      </c>
      <c r="AE54" s="895">
        <v>0.1729</v>
      </c>
      <c r="AF54" s="876">
        <v>2.8299999999999999E-2</v>
      </c>
      <c r="AG54" s="1069" t="s">
        <v>2</v>
      </c>
      <c r="AH54" s="895">
        <v>0.1729</v>
      </c>
      <c r="AI54" s="876">
        <v>2.8299999999999999E-2</v>
      </c>
      <c r="AJ54" s="1069" t="s">
        <v>2</v>
      </c>
      <c r="AK54" s="895">
        <v>0.1729</v>
      </c>
      <c r="AL54" s="876">
        <v>2.8299999999999999E-2</v>
      </c>
      <c r="AM54" s="1069" t="s">
        <v>2</v>
      </c>
      <c r="AN54" s="895">
        <v>0.1729</v>
      </c>
      <c r="AO54" s="876">
        <v>2.8299999999999999E-2</v>
      </c>
      <c r="AP54" s="1069" t="s">
        <v>2</v>
      </c>
      <c r="AQ54" s="895">
        <v>0.1729</v>
      </c>
      <c r="AR54" s="876">
        <v>2.8299999999999999E-2</v>
      </c>
      <c r="AS54" s="1069" t="s">
        <v>2</v>
      </c>
      <c r="AT54" s="895">
        <v>0.1729</v>
      </c>
      <c r="AU54" s="876">
        <v>2.8299999999999999E-2</v>
      </c>
      <c r="AV54" s="1069" t="s">
        <v>2</v>
      </c>
      <c r="AW54" s="895">
        <v>0.1729</v>
      </c>
      <c r="AX54" s="876">
        <v>2.8299999999999999E-2</v>
      </c>
      <c r="AY54" s="1069" t="s">
        <v>2</v>
      </c>
      <c r="AZ54" s="895">
        <v>0.1729</v>
      </c>
      <c r="BA54" s="876">
        <v>2.8299999999999999E-2</v>
      </c>
      <c r="BB54" s="1069" t="s">
        <v>2</v>
      </c>
      <c r="BC54" s="895">
        <v>0.1729</v>
      </c>
      <c r="BD54" s="876">
        <v>2.8299999999999999E-2</v>
      </c>
      <c r="BE54" s="1069" t="s">
        <v>2</v>
      </c>
      <c r="BF54" s="895">
        <v>0.1729</v>
      </c>
      <c r="BG54" s="876">
        <v>2.8299999999999999E-2</v>
      </c>
      <c r="BH54" s="1069" t="s">
        <v>2</v>
      </c>
      <c r="BI54" s="895">
        <v>0.1729</v>
      </c>
      <c r="BJ54" s="876">
        <v>2.8299999999999999E-2</v>
      </c>
      <c r="BK54" s="1069" t="s">
        <v>2</v>
      </c>
      <c r="BL54" s="895">
        <v>0.1729</v>
      </c>
      <c r="BM54" s="876">
        <v>2.8299999999999999E-2</v>
      </c>
      <c r="BN54" s="1069" t="s">
        <v>2</v>
      </c>
      <c r="BO54" s="895">
        <v>0.1729</v>
      </c>
      <c r="BP54" s="876">
        <v>2.8299999999999999E-2</v>
      </c>
      <c r="BQ54" s="1069" t="s">
        <v>2</v>
      </c>
      <c r="BR54" s="895">
        <v>0.1729</v>
      </c>
      <c r="BS54" s="876">
        <v>2.8299999999999999E-2</v>
      </c>
      <c r="BT54" s="1069" t="s">
        <v>2</v>
      </c>
      <c r="BU54" s="895">
        <v>0.1729</v>
      </c>
      <c r="BV54" s="876">
        <v>2.8299999999999999E-2</v>
      </c>
      <c r="BW54" s="1069" t="s">
        <v>2</v>
      </c>
      <c r="BX54" s="895">
        <v>0.1729</v>
      </c>
      <c r="BY54" s="876">
        <v>2.8299999999999999E-2</v>
      </c>
      <c r="BZ54" s="1069" t="s">
        <v>2</v>
      </c>
      <c r="CA54" s="895">
        <v>0.1729</v>
      </c>
      <c r="CB54" s="986"/>
    </row>
    <row r="55" spans="1:80" ht="12.75" customHeight="1" x14ac:dyDescent="0.2">
      <c r="A55" s="781" t="s">
        <v>1</v>
      </c>
      <c r="B55" s="880" t="s">
        <v>23</v>
      </c>
      <c r="C55" s="881"/>
      <c r="D55" s="882" t="s">
        <v>24</v>
      </c>
      <c r="E55" s="883"/>
      <c r="F55" s="774"/>
      <c r="G55" s="882"/>
      <c r="H55" s="966">
        <f>(SUM(I$15*I$15,J$15*J$15)/POWER($C$14,2))*$C$56</f>
        <v>2.47508000148097E-3</v>
      </c>
      <c r="I55" s="877" t="s">
        <v>2</v>
      </c>
      <c r="J55" s="885">
        <f>($E$56/100)*(SUM(I$15*I$15,J$15*J$15)/$C$14)</f>
        <v>5.5472234766842869E-2</v>
      </c>
      <c r="K55" s="966">
        <f>(SUM(L$15*L$15,M$15*M$15)/POWER($C$14,2))*$C$56</f>
        <v>2.2705405592479749E-3</v>
      </c>
      <c r="L55" s="877" t="s">
        <v>2</v>
      </c>
      <c r="M55" s="885">
        <f>($E$56/100)*(SUM(L$15*L$15,M$15*M$15)/$C$14)</f>
        <v>5.0888035487692808E-2</v>
      </c>
      <c r="N55" s="966">
        <f>(SUM(O$15*O$15,P$15*P$15)/POWER($C$14,2))*$C$56</f>
        <v>2.155779877778432E-3</v>
      </c>
      <c r="O55" s="877" t="s">
        <v>2</v>
      </c>
      <c r="P55" s="885">
        <f>($E$56/100)*(SUM(O$15*O$15,P$15*P$15)/$C$14)</f>
        <v>4.8315984701183992E-2</v>
      </c>
      <c r="Q55" s="966">
        <f>(SUM(R$15*R$15,S$15*S$15)/POWER($C$14,2))*$C$56</f>
        <v>2.1273304165454854E-3</v>
      </c>
      <c r="R55" s="877" t="s">
        <v>2</v>
      </c>
      <c r="S55" s="885">
        <f>($E$56/100)*(SUM(R$15*R$15,S$15*S$15)/$C$14)</f>
        <v>4.7678366849817605E-2</v>
      </c>
      <c r="T55" s="966">
        <f>(SUM(U$15*U$15,V$15*V$15)/POWER($C$14,2))*$C$56</f>
        <v>2.1316398563798428E-3</v>
      </c>
      <c r="U55" s="877" t="s">
        <v>2</v>
      </c>
      <c r="V55" s="885">
        <f>($E$56/100)*(SUM(U$15*U$15,V$15*V$15)/$C$14)</f>
        <v>4.7774951306910729E-2</v>
      </c>
      <c r="W55" s="966">
        <f>(SUM(X$15*X$15,Y$15*Y$15)/POWER($C$14,2))*$C$56</f>
        <v>2.2167758791098785E-3</v>
      </c>
      <c r="X55" s="877" t="s">
        <v>2</v>
      </c>
      <c r="Y55" s="885">
        <f>($E$56/100)*(SUM(X$15*X$15,Y$15*Y$15)/$C$14)</f>
        <v>4.968304536333313E-2</v>
      </c>
      <c r="Z55" s="966">
        <f>(SUM(AA$15*AA$15,AB$15*AB$15)/POWER($C$14,2))*$C$56</f>
        <v>2.6750769293025687E-3</v>
      </c>
      <c r="AA55" s="877" t="s">
        <v>2</v>
      </c>
      <c r="AB55" s="885">
        <f>($E$56/100)*(SUM(AA$15*AA$15,AB$15*AB$15)/$C$14)</f>
        <v>5.9954625851627509E-2</v>
      </c>
      <c r="AC55" s="966">
        <f>(SUM(AD$15*AD$15,AE$15*AE$15)/POWER($C$14,2))*$C$56</f>
        <v>3.1677568809445381E-3</v>
      </c>
      <c r="AD55" s="877" t="s">
        <v>2</v>
      </c>
      <c r="AE55" s="885">
        <f>($E$56/100)*(SUM(AD$15*AD$15,AE$15*AE$15)/$C$14)</f>
        <v>7.09967165824512E-2</v>
      </c>
      <c r="AF55" s="966">
        <f>(SUM(AG$15*AG$15,AH$15*AH$15)/POWER($C$14,2))*$C$56</f>
        <v>3.433441321493402E-3</v>
      </c>
      <c r="AG55" s="877" t="s">
        <v>2</v>
      </c>
      <c r="AH55" s="885">
        <f>($E$56/100)*(SUM(AG$15*AG$15,AH$15*AH$15)/$C$14)</f>
        <v>7.6951315888819205E-2</v>
      </c>
      <c r="AI55" s="966">
        <f>(SUM(AJ$15*AJ$15,AK$15*AK$15)/POWER($C$14,2))*$C$56</f>
        <v>3.5613629958016623E-3</v>
      </c>
      <c r="AJ55" s="877" t="s">
        <v>2</v>
      </c>
      <c r="AK55" s="885">
        <f>($E$56/100)*(SUM(AJ$15*AJ$15,AK$15*AK$15)/$C$14)</f>
        <v>7.9818334791137299E-2</v>
      </c>
      <c r="AL55" s="966">
        <f>(SUM(AM$15*AM$15,AN$15*AN$15)/POWER($C$14,2))*$C$56</f>
        <v>3.6700798779136612E-3</v>
      </c>
      <c r="AM55" s="877" t="s">
        <v>2</v>
      </c>
      <c r="AN55" s="885">
        <f>($E$56/100)*(SUM(AM$15*AM$15,AN$15*AN$15)/$C$14)</f>
        <v>8.225493013513728E-2</v>
      </c>
      <c r="AO55" s="966">
        <f>(SUM(AP$15*AP$15,AQ$15*AQ$15)/POWER($C$14,2))*$C$56</f>
        <v>3.8139771385846369E-3</v>
      </c>
      <c r="AP55" s="877" t="s">
        <v>2</v>
      </c>
      <c r="AQ55" s="885">
        <f>($E$56/100)*(SUM(AP$15*AP$15,AQ$15*AQ$15)/$C$14)</f>
        <v>8.5479998666849272E-2</v>
      </c>
      <c r="AR55" s="966">
        <f>(SUM(AS$15*AS$15,AT$15*AT$15)/POWER($C$14,2))*$C$56</f>
        <v>3.6928668822592096E-3</v>
      </c>
      <c r="AS55" s="877" t="s">
        <v>2</v>
      </c>
      <c r="AT55" s="885">
        <f>($E$56/100)*(SUM(AS$15*AS$15,AT$15*AT$15)/$C$14)</f>
        <v>8.276563930572288E-2</v>
      </c>
      <c r="AU55" s="966">
        <f>(SUM(AV$15*AV$15,AW$15*AW$15)/POWER($C$14,2))*$C$56</f>
        <v>3.5556643623564088E-3</v>
      </c>
      <c r="AV55" s="877" t="s">
        <v>2</v>
      </c>
      <c r="AW55" s="885">
        <f>($E$56/100)*(SUM(AV$15*AV$15,AW$15*AW$15)/$C$14)</f>
        <v>7.9690615310499854E-2</v>
      </c>
      <c r="AX55" s="966">
        <f>(SUM(AY$15*AY$15,AZ$15*AZ$15)/POWER($C$14,2))*$C$56</f>
        <v>3.4927470941805371E-3</v>
      </c>
      <c r="AY55" s="877" t="s">
        <v>2</v>
      </c>
      <c r="AZ55" s="885">
        <f>($E$56/100)*(SUM(AY$15*AY$15,AZ$15*AZ$15)/$C$14)</f>
        <v>7.8280494640035864E-2</v>
      </c>
      <c r="BA55" s="966">
        <f>(SUM(BB$15*BB$15,BC$15*BC$15)/POWER($C$14,2))*$C$56</f>
        <v>3.567346014299299E-3</v>
      </c>
      <c r="BB55" s="877" t="s">
        <v>2</v>
      </c>
      <c r="BC55" s="885">
        <f>($E$56/100)*(SUM(BB$15*BB$15,BC$15*BC$15)/$C$14)</f>
        <v>7.9952427994798056E-2</v>
      </c>
      <c r="BD55" s="966">
        <f>(SUM(BE$15*BE$15,BF$15*BF$15)/POWER($C$14,2))*$C$56</f>
        <v>3.727383802047385E-3</v>
      </c>
      <c r="BE55" s="877" t="s">
        <v>2</v>
      </c>
      <c r="BF55" s="885">
        <f>($E$56/100)*(SUM(BE$15*BE$15,BF$15*BF$15)/$C$14)</f>
        <v>8.3539242856627186E-2</v>
      </c>
      <c r="BG55" s="966">
        <f>(SUM(BH$15*BH$15,BI$15*BI$15)/POWER($C$14,2))*$C$56</f>
        <v>3.8927091920283644E-3</v>
      </c>
      <c r="BH55" s="877" t="s">
        <v>2</v>
      </c>
      <c r="BI55" s="885">
        <f>($E$56/100)*(SUM(BH$15*BH$15,BI$15*BI$15)/$C$14)</f>
        <v>8.7244565044377595E-2</v>
      </c>
      <c r="BJ55" s="966">
        <f>(SUM(BK$15*BK$15,BL$15*BL$15)/POWER($C$14,2))*$C$56</f>
        <v>3.9698986233464417E-3</v>
      </c>
      <c r="BK55" s="877" t="s">
        <v>2</v>
      </c>
      <c r="BL55" s="885">
        <f>($E$56/100)*(SUM(BK$15*BK$15,BL$15*BL$15)/$C$14)</f>
        <v>8.8974557712506855E-2</v>
      </c>
      <c r="BM55" s="966">
        <f>(SUM(BN$15*BN$15,BO$15*BO$15)/POWER($C$14,2))*$C$56</f>
        <v>4.0451487564526585E-3</v>
      </c>
      <c r="BN55" s="877" t="s">
        <v>2</v>
      </c>
      <c r="BO55" s="885">
        <f>($E$56/100)*(SUM(BN$15*BN$15,BO$15*BO$15)/$C$14)</f>
        <v>9.0661086247910389E-2</v>
      </c>
      <c r="BP55" s="966">
        <f>(SUM(BQ$15*BQ$15,BR$15*BR$15)/POWER($C$14,2))*$C$56</f>
        <v>3.863199247470776E-3</v>
      </c>
      <c r="BQ55" s="877" t="s">
        <v>2</v>
      </c>
      <c r="BR55" s="885">
        <f>($E$56/100)*(SUM(BQ$15*BQ$15,BR$15*BR$15)/$C$14)</f>
        <v>8.6583179322915843E-2</v>
      </c>
      <c r="BS55" s="966">
        <f>(SUM(BT$15*BT$15,BU$15*BU$15)/POWER($C$14,2))*$C$56</f>
        <v>3.6438109645797988E-3</v>
      </c>
      <c r="BT55" s="877" t="s">
        <v>2</v>
      </c>
      <c r="BU55" s="885">
        <f>($E$56/100)*(SUM(BT$15*BT$15,BU$15*BU$15)/$C$14)</f>
        <v>8.1666183376788479E-2</v>
      </c>
      <c r="BV55" s="966">
        <f>(SUM(BW$15*BW$15,BX$15*BX$15)/POWER($C$14,2))*$C$56</f>
        <v>3.2780176830574186E-3</v>
      </c>
      <c r="BW55" s="877" t="s">
        <v>2</v>
      </c>
      <c r="BX55" s="885">
        <f>($E$56/100)*(SUM(BW$15*BW$15,BX$15*BX$15)/$C$14)</f>
        <v>7.3467914724218888E-2</v>
      </c>
      <c r="BY55" s="966">
        <f>(SUM(BZ$15*BZ$15,CA$15*CA$15)/POWER($C$14,2))*$C$56</f>
        <v>2.8167581436311143E-3</v>
      </c>
      <c r="BZ55" s="877" t="s">
        <v>2</v>
      </c>
      <c r="CA55" s="885">
        <f>($E$56/100)*(SUM(BZ$15*BZ$15,CA$15*CA$15)/$C$14)</f>
        <v>6.3130027688570872E-2</v>
      </c>
      <c r="CB55" s="986"/>
    </row>
    <row r="56" spans="1:80" ht="12" customHeight="1" thickBot="1" x14ac:dyDescent="0.25">
      <c r="A56" s="1070"/>
      <c r="B56" s="1011" t="s">
        <v>26</v>
      </c>
      <c r="C56" s="1012">
        <v>0.11545</v>
      </c>
      <c r="D56" s="744" t="s">
        <v>27</v>
      </c>
      <c r="E56" s="2313">
        <v>10.35</v>
      </c>
      <c r="F56" s="2313"/>
      <c r="G56" s="828"/>
      <c r="H56" s="1014"/>
      <c r="I56" s="1015"/>
      <c r="J56" s="1016"/>
      <c r="K56" s="1014"/>
      <c r="L56" s="1015"/>
      <c r="M56" s="1016"/>
      <c r="N56" s="1014"/>
      <c r="O56" s="1015"/>
      <c r="P56" s="1016"/>
      <c r="Q56" s="1014"/>
      <c r="R56" s="1015"/>
      <c r="S56" s="1016"/>
      <c r="T56" s="1014"/>
      <c r="U56" s="1015"/>
      <c r="V56" s="1016"/>
      <c r="W56" s="1014"/>
      <c r="X56" s="1015"/>
      <c r="Y56" s="1016"/>
      <c r="Z56" s="1014"/>
      <c r="AA56" s="1015"/>
      <c r="AB56" s="1016"/>
      <c r="AC56" s="1014"/>
      <c r="AD56" s="1015"/>
      <c r="AE56" s="1016"/>
      <c r="AF56" s="1014"/>
      <c r="AG56" s="1015"/>
      <c r="AH56" s="1016"/>
      <c r="AI56" s="1014"/>
      <c r="AJ56" s="1015"/>
      <c r="AK56" s="1016"/>
      <c r="AL56" s="1014"/>
      <c r="AM56" s="1015"/>
      <c r="AN56" s="1016"/>
      <c r="AO56" s="1014"/>
      <c r="AP56" s="1015"/>
      <c r="AQ56" s="1016"/>
      <c r="AR56" s="1014"/>
      <c r="AS56" s="1015"/>
      <c r="AT56" s="1016"/>
      <c r="AU56" s="1014"/>
      <c r="AV56" s="1015"/>
      <c r="AW56" s="1016"/>
      <c r="AX56" s="1014"/>
      <c r="AY56" s="1015"/>
      <c r="AZ56" s="1016"/>
      <c r="BA56" s="1014"/>
      <c r="BB56" s="1015"/>
      <c r="BC56" s="1016"/>
      <c r="BD56" s="1014"/>
      <c r="BE56" s="1015"/>
      <c r="BF56" s="1016"/>
      <c r="BG56" s="1014"/>
      <c r="BH56" s="1015"/>
      <c r="BI56" s="1016"/>
      <c r="BJ56" s="1014"/>
      <c r="BK56" s="1015"/>
      <c r="BL56" s="1016"/>
      <c r="BM56" s="1014"/>
      <c r="BN56" s="1015"/>
      <c r="BO56" s="1016"/>
      <c r="BP56" s="1014"/>
      <c r="BQ56" s="1015"/>
      <c r="BR56" s="1016"/>
      <c r="BS56" s="1014"/>
      <c r="BT56" s="1015"/>
      <c r="BU56" s="1016"/>
      <c r="BV56" s="1014"/>
      <c r="BW56" s="1015"/>
      <c r="BX56" s="1016"/>
      <c r="BY56" s="1014"/>
      <c r="BZ56" s="1015"/>
      <c r="CA56" s="1016"/>
      <c r="CB56" s="986"/>
    </row>
    <row r="57" spans="1:80" ht="13.5" thickBot="1" x14ac:dyDescent="0.25">
      <c r="A57" s="902"/>
      <c r="B57" s="2377" t="s">
        <v>29</v>
      </c>
      <c r="C57" s="2378"/>
      <c r="D57" s="2378"/>
      <c r="E57" s="2378"/>
      <c r="F57" s="2378"/>
      <c r="G57" s="2378"/>
      <c r="H57" s="1014">
        <f>SUM(I15,$H$54,H55)</f>
        <v>3.5658310800014812</v>
      </c>
      <c r="I57" s="1071" t="s">
        <v>2</v>
      </c>
      <c r="J57" s="1016">
        <f>SUM(J15,$J$54,J55)</f>
        <v>1.1783562347668428</v>
      </c>
      <c r="K57" s="1014">
        <f>SUM(L15,$H$54,K55)</f>
        <v>3.4052745405592484</v>
      </c>
      <c r="L57" s="1071" t="s">
        <v>2</v>
      </c>
      <c r="M57" s="1016">
        <f>SUM(M15,$J$54,M55)</f>
        <v>1.1741400354876927</v>
      </c>
      <c r="N57" s="1014">
        <f>SUM(O15,$H$54,N55)</f>
        <v>3.3129677798777788</v>
      </c>
      <c r="O57" s="1071" t="s">
        <v>2</v>
      </c>
      <c r="P57" s="1016">
        <f>SUM(P15,$J$54,P55)</f>
        <v>1.167599984701184</v>
      </c>
      <c r="Q57" s="1014">
        <f>SUM(R15,$H$54,Q55)</f>
        <v>3.2913713304165459</v>
      </c>
      <c r="R57" s="1071" t="s">
        <v>2</v>
      </c>
      <c r="S57" s="1016">
        <f>SUM(S15,$J$54,S55)</f>
        <v>1.1601303668498175</v>
      </c>
      <c r="T57" s="1014">
        <f>SUM(U15,$H$54,T55)</f>
        <v>3.2941436398563804</v>
      </c>
      <c r="U57" s="1071" t="s">
        <v>2</v>
      </c>
      <c r="V57" s="1016">
        <f>SUM(V15,$J$54,V55)</f>
        <v>1.1630269513069109</v>
      </c>
      <c r="W57" s="1014">
        <f>SUM(X15,$H$54,W55)</f>
        <v>3.3665647758791106</v>
      </c>
      <c r="X57" s="1071" t="s">
        <v>2</v>
      </c>
      <c r="Y57" s="1016">
        <f>SUM(Y15,$J$54,Y55)</f>
        <v>1.1561350453633332</v>
      </c>
      <c r="Z57" s="1014">
        <f>SUM(AA15,$H$54,Z55)</f>
        <v>3.7199830769293025</v>
      </c>
      <c r="AA57" s="1071" t="s">
        <v>2</v>
      </c>
      <c r="AB57" s="1016">
        <f>SUM(AB15,$J$54,AB55)</f>
        <v>1.1672066258516276</v>
      </c>
      <c r="AC57" s="1014">
        <f>SUM(AD15,$H$54,AC55)</f>
        <v>4.0670997568809453</v>
      </c>
      <c r="AD57" s="1071" t="s">
        <v>2</v>
      </c>
      <c r="AE57" s="1016">
        <f>SUM(AE15,$J$54,AE55)</f>
        <v>1.1726807165824511</v>
      </c>
      <c r="AF57" s="1014">
        <f>SUM(AG15,$H$54,AF55)</f>
        <v>4.2367094413214934</v>
      </c>
      <c r="AG57" s="1071" t="s">
        <v>2</v>
      </c>
      <c r="AH57" s="1016">
        <f>SUM(AH15,$J$54,AH55)</f>
        <v>1.2014033158888191</v>
      </c>
      <c r="AI57" s="1014">
        <f>SUM(AJ15,$H$54,AI55)</f>
        <v>4.3137973629958024</v>
      </c>
      <c r="AJ57" s="1071" t="s">
        <v>2</v>
      </c>
      <c r="AK57" s="1016">
        <f>SUM(AK15,$J$54,AK55)</f>
        <v>1.2247343347911372</v>
      </c>
      <c r="AL57" s="1014">
        <f>SUM(AM15,$H$54,AL55)</f>
        <v>4.3780340798779136</v>
      </c>
      <c r="AM57" s="1071" t="s">
        <v>2</v>
      </c>
      <c r="AN57" s="1016">
        <f>SUM(AN15,$J$54,AN55)</f>
        <v>1.245138930135137</v>
      </c>
      <c r="AO57" s="1014">
        <f>SUM(AP15,$H$54,AO55)</f>
        <v>4.4677779771385842</v>
      </c>
      <c r="AP57" s="1071" t="s">
        <v>2</v>
      </c>
      <c r="AQ57" s="1016">
        <f>SUM(AQ15,$J$54,AQ55)</f>
        <v>1.2443959986668494</v>
      </c>
      <c r="AR57" s="1014">
        <f>SUM(AS15,$H$54,AR55)</f>
        <v>4.3994488668822589</v>
      </c>
      <c r="AS57" s="1071" t="s">
        <v>2</v>
      </c>
      <c r="AT57" s="1016">
        <f>SUM(AT15,$J$54,AT55)</f>
        <v>1.2132816393057229</v>
      </c>
      <c r="AU57" s="1014">
        <f>SUM(AV15,$H$54,AU55)</f>
        <v>4.3144156643623566</v>
      </c>
      <c r="AV57" s="1071" t="s">
        <v>2</v>
      </c>
      <c r="AW57" s="1016">
        <f>SUM(AW15,$J$54,AW55)</f>
        <v>1.2058066153105</v>
      </c>
      <c r="AX57" s="1014">
        <f>SUM(AY15,$H$54,AX55)</f>
        <v>4.2753927470941813</v>
      </c>
      <c r="AY57" s="1071" t="s">
        <v>2</v>
      </c>
      <c r="AZ57" s="1016">
        <f>SUM(AZ15,$J$54,AZ55)</f>
        <v>1.1999644946400361</v>
      </c>
      <c r="BA57" s="1014">
        <f>SUM(BB15,$H$54,BA55)</f>
        <v>4.3257713460142986</v>
      </c>
      <c r="BB57" s="1071" t="s">
        <v>2</v>
      </c>
      <c r="BC57" s="1016">
        <f>SUM(BC15,$J$54,BC55)</f>
        <v>1.1880364279947979</v>
      </c>
      <c r="BD57" s="1014">
        <f>SUM(BE15,$H$54,BD55)</f>
        <v>4.4288593838020471</v>
      </c>
      <c r="BE57" s="1071" t="s">
        <v>2</v>
      </c>
      <c r="BF57" s="1016">
        <f>SUM(BF15,$J$54,BF55)</f>
        <v>1.1764552428566273</v>
      </c>
      <c r="BG57" s="1014">
        <f>SUM(BH15,$H$54,BG55)</f>
        <v>4.525520709192028</v>
      </c>
      <c r="BH57" s="1071" t="s">
        <v>2</v>
      </c>
      <c r="BI57" s="1016">
        <f>SUM(BI15,$J$54,BI55)</f>
        <v>1.2001285650443776</v>
      </c>
      <c r="BJ57" s="1014">
        <f>SUM(BK15,$H$54,BJ55)</f>
        <v>4.5773258986233456</v>
      </c>
      <c r="BK57" s="1071" t="s">
        <v>2</v>
      </c>
      <c r="BL57" s="1016">
        <f>SUM(BL15,$J$54,BL55)</f>
        <v>1.1750585577125068</v>
      </c>
      <c r="BM57" s="1014">
        <f>SUM(BN15,$H$54,BM55)</f>
        <v>4.6207931487564524</v>
      </c>
      <c r="BN57" s="1071" t="s">
        <v>2</v>
      </c>
      <c r="BO57" s="1016">
        <f>SUM(BO15,$J$54,BO55)</f>
        <v>1.1827770862479106</v>
      </c>
      <c r="BP57" s="1014">
        <f>SUM(BQ15,$H$54,BP55)</f>
        <v>4.5122431992474707</v>
      </c>
      <c r="BQ57" s="1071" t="s">
        <v>2</v>
      </c>
      <c r="BR57" s="1016">
        <f>SUM(BR15,$J$54,BR55)</f>
        <v>1.1774671793229159</v>
      </c>
      <c r="BS57" s="1014">
        <f>SUM(BT15,$H$54,BS55)</f>
        <v>4.3741198109645802</v>
      </c>
      <c r="BT57" s="1071" t="s">
        <v>2</v>
      </c>
      <c r="BU57" s="1016">
        <f>SUM(BU15,$J$54,BU55)</f>
        <v>1.1881821833767883</v>
      </c>
      <c r="BV57" s="1014">
        <f>SUM(BW15,$H$54,BV55)</f>
        <v>4.1333220176830574</v>
      </c>
      <c r="BW57" s="1071" t="s">
        <v>2</v>
      </c>
      <c r="BX57" s="1016">
        <f>SUM(BX15,$J$54,BX55)</f>
        <v>1.206351914724219</v>
      </c>
      <c r="BY57" s="1014">
        <f>SUM(BZ15,$H$54,BY55)</f>
        <v>3.8193727581436314</v>
      </c>
      <c r="BZ57" s="1071" t="s">
        <v>2</v>
      </c>
      <c r="CA57" s="1016">
        <f>SUM(CA15,$J$54,CA55)</f>
        <v>1.1836140276885707</v>
      </c>
      <c r="CB57" s="986"/>
    </row>
    <row r="58" spans="1:80" x14ac:dyDescent="0.2">
      <c r="A58" s="787" t="s">
        <v>20</v>
      </c>
      <c r="B58" s="903"/>
      <c r="C58" s="789"/>
      <c r="D58" s="788"/>
      <c r="E58" s="825"/>
      <c r="F58" s="473"/>
      <c r="G58" s="473"/>
      <c r="H58" s="904"/>
      <c r="I58" s="905"/>
      <c r="J58" s="906"/>
      <c r="K58" s="904"/>
      <c r="L58" s="905"/>
      <c r="M58" s="906"/>
      <c r="N58" s="904"/>
      <c r="O58" s="905"/>
      <c r="P58" s="906"/>
      <c r="Q58" s="904"/>
      <c r="R58" s="905"/>
      <c r="S58" s="906"/>
      <c r="T58" s="904"/>
      <c r="U58" s="905"/>
      <c r="V58" s="906"/>
      <c r="W58" s="904"/>
      <c r="X58" s="905"/>
      <c r="Y58" s="906"/>
      <c r="Z58" s="904"/>
      <c r="AA58" s="905"/>
      <c r="AB58" s="906"/>
      <c r="AC58" s="904"/>
      <c r="AD58" s="905"/>
      <c r="AE58" s="906"/>
      <c r="AF58" s="904"/>
      <c r="AG58" s="905"/>
      <c r="AH58" s="906"/>
      <c r="AI58" s="904"/>
      <c r="AJ58" s="905"/>
      <c r="AK58" s="906"/>
      <c r="AL58" s="904"/>
      <c r="AM58" s="905"/>
      <c r="AN58" s="906"/>
      <c r="AO58" s="904"/>
      <c r="AP58" s="905"/>
      <c r="AQ58" s="906"/>
      <c r="AR58" s="904"/>
      <c r="AS58" s="905"/>
      <c r="AT58" s="906"/>
      <c r="AU58" s="904"/>
      <c r="AV58" s="905"/>
      <c r="AW58" s="906"/>
      <c r="AX58" s="904"/>
      <c r="AY58" s="905"/>
      <c r="AZ58" s="906"/>
      <c r="BA58" s="904"/>
      <c r="BB58" s="905"/>
      <c r="BC58" s="906"/>
      <c r="BD58" s="904"/>
      <c r="BE58" s="905"/>
      <c r="BF58" s="906"/>
      <c r="BG58" s="904"/>
      <c r="BH58" s="905"/>
      <c r="BI58" s="906"/>
      <c r="BJ58" s="904"/>
      <c r="BK58" s="905"/>
      <c r="BL58" s="906"/>
      <c r="BM58" s="904"/>
      <c r="BN58" s="905"/>
      <c r="BO58" s="906"/>
      <c r="BP58" s="904"/>
      <c r="BQ58" s="905"/>
      <c r="BR58" s="906"/>
      <c r="BS58" s="904"/>
      <c r="BT58" s="905"/>
      <c r="BU58" s="906"/>
      <c r="BV58" s="904"/>
      <c r="BW58" s="905"/>
      <c r="BX58" s="906"/>
      <c r="BY58" s="904"/>
      <c r="BZ58" s="905"/>
      <c r="CA58" s="906"/>
      <c r="CB58" s="986"/>
    </row>
    <row r="59" spans="1:80" ht="16.5" customHeight="1" thickBot="1" x14ac:dyDescent="0.3">
      <c r="A59" s="791" t="s">
        <v>21</v>
      </c>
      <c r="B59" s="792"/>
      <c r="C59" s="793"/>
      <c r="D59" s="792"/>
      <c r="E59" s="828"/>
      <c r="F59" s="792" t="s">
        <v>25</v>
      </c>
      <c r="G59" s="828"/>
      <c r="H59" s="907">
        <f>SUM(H53,H57)</f>
        <v>9.9372240278572583</v>
      </c>
      <c r="I59" s="908" t="s">
        <v>2</v>
      </c>
      <c r="J59" s="909">
        <f>SUM(J53,J57)</f>
        <v>2.5731463840474058</v>
      </c>
      <c r="K59" s="907">
        <f>SUM(K53,K57)</f>
        <v>9.4292927116962773</v>
      </c>
      <c r="L59" s="908" t="s">
        <v>2</v>
      </c>
      <c r="M59" s="909">
        <f>SUM(M53,M57)</f>
        <v>2.5630949234779568</v>
      </c>
      <c r="N59" s="907">
        <f>SUM(N53,N57)</f>
        <v>9.1225182437305783</v>
      </c>
      <c r="O59" s="908" t="s">
        <v>2</v>
      </c>
      <c r="P59" s="909">
        <f>SUM(P53,P57)</f>
        <v>2.5459423352105759</v>
      </c>
      <c r="Q59" s="907">
        <f>SUM(Q53,Q57)</f>
        <v>9.068848163091582</v>
      </c>
      <c r="R59" s="908" t="s">
        <v>2</v>
      </c>
      <c r="S59" s="909">
        <f>SUM(S53,S57)</f>
        <v>2.5358205898182895</v>
      </c>
      <c r="T59" s="907">
        <f>SUM(T53,T57)</f>
        <v>9.1073401895340318</v>
      </c>
      <c r="U59" s="908" t="s">
        <v>2</v>
      </c>
      <c r="V59" s="909">
        <f>SUM(V53,V57)</f>
        <v>2.5457095252971431</v>
      </c>
      <c r="W59" s="907">
        <f>SUM(W53,W57)</f>
        <v>9.4357987781719821</v>
      </c>
      <c r="X59" s="908" t="s">
        <v>2</v>
      </c>
      <c r="Y59" s="909">
        <f>SUM(Y53,Y57)</f>
        <v>2.5667492862484131</v>
      </c>
      <c r="Z59" s="907">
        <f>SUM(Z53,Z57)</f>
        <v>10.616869264004597</v>
      </c>
      <c r="AA59" s="908" t="s">
        <v>2</v>
      </c>
      <c r="AB59" s="909">
        <f>SUM(AB53,AB57)</f>
        <v>2.6299778428899554</v>
      </c>
      <c r="AC59" s="907">
        <f>SUM(AC53,AC57)</f>
        <v>11.722895839801019</v>
      </c>
      <c r="AD59" s="908" t="s">
        <v>2</v>
      </c>
      <c r="AE59" s="909">
        <f>SUM(AE53,AE57)</f>
        <v>2.7077121059000788</v>
      </c>
      <c r="AF59" s="907">
        <f>SUM(AF53,AF57)</f>
        <v>12.193114899942266</v>
      </c>
      <c r="AG59" s="908" t="s">
        <v>2</v>
      </c>
      <c r="AH59" s="909">
        <f>SUM(AH53,AH57)</f>
        <v>2.7408180745111994</v>
      </c>
      <c r="AI59" s="907">
        <f>SUM(AI53,AI57)</f>
        <v>12.368467820700559</v>
      </c>
      <c r="AJ59" s="908" t="s">
        <v>2</v>
      </c>
      <c r="AK59" s="909">
        <f>SUM(AK53,AK57)</f>
        <v>2.7503272680506798</v>
      </c>
      <c r="AL59" s="907">
        <f>SUM(AL53,AL57)</f>
        <v>12.497444294267666</v>
      </c>
      <c r="AM59" s="908" t="s">
        <v>2</v>
      </c>
      <c r="AN59" s="909">
        <f>SUM(AN53,AN57)</f>
        <v>2.7974741949558934</v>
      </c>
      <c r="AO59" s="907">
        <f>SUM(AO53,AO57)</f>
        <v>12.685221171331975</v>
      </c>
      <c r="AP59" s="908" t="s">
        <v>2</v>
      </c>
      <c r="AQ59" s="909">
        <f>SUM(AQ53,AQ57)</f>
        <v>2.8164379433045843</v>
      </c>
      <c r="AR59" s="907">
        <f>SUM(AR53,AR57)</f>
        <v>12.721686072281592</v>
      </c>
      <c r="AS59" s="908" t="s">
        <v>2</v>
      </c>
      <c r="AT59" s="909">
        <f>SUM(AT53,AT57)</f>
        <v>2.8213322023887493</v>
      </c>
      <c r="AU59" s="907">
        <f>SUM(AU53,AU57)</f>
        <v>12.51531708081394</v>
      </c>
      <c r="AV59" s="908" t="s">
        <v>2</v>
      </c>
      <c r="AW59" s="909">
        <f>SUM(AW53,AW57)</f>
        <v>2.785088890440008</v>
      </c>
      <c r="AX59" s="907">
        <f>SUM(AX53,AX57)</f>
        <v>12.35292621110386</v>
      </c>
      <c r="AY59" s="908" t="s">
        <v>2</v>
      </c>
      <c r="AZ59" s="909">
        <f>SUM(AZ53,AZ57)</f>
        <v>2.7785548483882172</v>
      </c>
      <c r="BA59" s="907">
        <f>SUM(BA53,BA57)</f>
        <v>12.611887276298777</v>
      </c>
      <c r="BB59" s="908" t="s">
        <v>2</v>
      </c>
      <c r="BC59" s="909">
        <f>SUM(BC53,BC57)</f>
        <v>2.7221411822549628</v>
      </c>
      <c r="BD59" s="907">
        <f>SUM(BD53,BD57)</f>
        <v>12.984862156576584</v>
      </c>
      <c r="BE59" s="908" t="s">
        <v>2</v>
      </c>
      <c r="BF59" s="909">
        <f>SUM(BF53,BF57)</f>
        <v>2.6910878420729025</v>
      </c>
      <c r="BG59" s="907">
        <f>SUM(BG53,BG57)</f>
        <v>13.16903280743862</v>
      </c>
      <c r="BH59" s="908" t="s">
        <v>2</v>
      </c>
      <c r="BI59" s="909">
        <f>SUM(BI53,BI57)</f>
        <v>2.7236034965869829</v>
      </c>
      <c r="BJ59" s="907">
        <f>SUM(BJ53,BJ57)</f>
        <v>13.427607994521843</v>
      </c>
      <c r="BK59" s="908" t="s">
        <v>2</v>
      </c>
      <c r="BL59" s="909">
        <f>SUM(BL53,BL57)</f>
        <v>2.7472858278749879</v>
      </c>
      <c r="BM59" s="907">
        <f>SUM(BM53,BM57)</f>
        <v>13.475402608021497</v>
      </c>
      <c r="BN59" s="908" t="s">
        <v>2</v>
      </c>
      <c r="BO59" s="909">
        <f>SUM(BO53,BO57)</f>
        <v>2.7559935355907434</v>
      </c>
      <c r="BP59" s="907">
        <f>SUM(BP53,BP57)</f>
        <v>13.13984906763465</v>
      </c>
      <c r="BQ59" s="908" t="s">
        <v>2</v>
      </c>
      <c r="BR59" s="909">
        <f>SUM(BR53,BR57)</f>
        <v>2.6994225266711913</v>
      </c>
      <c r="BS59" s="907">
        <f>SUM(BS53,BS57)</f>
        <v>12.684320260874568</v>
      </c>
      <c r="BT59" s="908" t="s">
        <v>2</v>
      </c>
      <c r="BU59" s="909">
        <f>SUM(BU53,BU57)</f>
        <v>2.6996215363571783</v>
      </c>
      <c r="BV59" s="907">
        <f>SUM(BV53,BV57)</f>
        <v>11.857012767025722</v>
      </c>
      <c r="BW59" s="908" t="s">
        <v>2</v>
      </c>
      <c r="BX59" s="909">
        <f>SUM(BX53,BX57)</f>
        <v>2.6922544817985683</v>
      </c>
      <c r="BY59" s="907">
        <f>SUM(BY53,BY57)</f>
        <v>10.816304406928309</v>
      </c>
      <c r="BZ59" s="908" t="s">
        <v>2</v>
      </c>
      <c r="CA59" s="909">
        <f>SUM(CA53,CA57)</f>
        <v>2.6327977445334998</v>
      </c>
      <c r="CB59" s="986"/>
    </row>
    <row r="61" spans="1:80" x14ac:dyDescent="0.2">
      <c r="I61" s="529"/>
      <c r="L61" s="529"/>
      <c r="O61" s="529"/>
      <c r="R61" s="529"/>
      <c r="U61" s="529"/>
      <c r="X61" s="529"/>
      <c r="AA61" s="529"/>
      <c r="AD61" s="529"/>
      <c r="AG61" s="529"/>
      <c r="AJ61" s="529"/>
      <c r="AM61" s="529"/>
      <c r="AP61" s="529"/>
      <c r="AS61" s="529"/>
      <c r="AV61" s="529"/>
      <c r="AY61" s="529"/>
      <c r="BB61" s="529"/>
      <c r="BE61" s="529"/>
      <c r="BH61" s="529"/>
      <c r="BK61" s="529"/>
      <c r="BN61" s="529"/>
      <c r="BQ61" s="529"/>
      <c r="BT61" s="529"/>
      <c r="BW61" s="529"/>
      <c r="BZ61" s="529"/>
    </row>
    <row r="62" spans="1:80" x14ac:dyDescent="0.2">
      <c r="D62" s="2379"/>
      <c r="E62" s="2379"/>
      <c r="F62" s="2379"/>
    </row>
    <row r="63" spans="1:80" x14ac:dyDescent="0.2">
      <c r="D63" s="2379"/>
      <c r="E63" s="2379"/>
      <c r="F63" s="2379"/>
    </row>
    <row r="64" spans="1:80" x14ac:dyDescent="0.2">
      <c r="D64" s="2379"/>
      <c r="E64" s="2379"/>
      <c r="F64" s="2379"/>
    </row>
    <row r="65" spans="3:6" x14ac:dyDescent="0.2">
      <c r="D65" s="2379"/>
      <c r="E65" s="2379"/>
      <c r="F65" s="2379"/>
    </row>
    <row r="66" spans="3:6" x14ac:dyDescent="0.2">
      <c r="D66" s="2379"/>
      <c r="E66" s="2379"/>
      <c r="F66" s="2379"/>
    </row>
    <row r="67" spans="3:6" x14ac:dyDescent="0.2">
      <c r="D67" s="2379"/>
      <c r="E67" s="2379"/>
      <c r="F67" s="2379"/>
    </row>
    <row r="68" spans="3:6" x14ac:dyDescent="0.2">
      <c r="D68" s="2380"/>
      <c r="E68" s="2380"/>
      <c r="F68" s="2380"/>
    </row>
    <row r="69" spans="3:6" x14ac:dyDescent="0.2">
      <c r="D69" s="2379"/>
      <c r="E69" s="2379"/>
      <c r="F69" s="2379"/>
    </row>
    <row r="70" spans="3:6" x14ac:dyDescent="0.2">
      <c r="D70" s="2379"/>
      <c r="E70" s="2379"/>
      <c r="F70" s="2379"/>
    </row>
    <row r="71" spans="3:6" x14ac:dyDescent="0.2">
      <c r="D71" s="2379"/>
      <c r="E71" s="2379"/>
      <c r="F71" s="2379"/>
    </row>
    <row r="72" spans="3:6" x14ac:dyDescent="0.2">
      <c r="D72" s="2379"/>
      <c r="E72" s="2379"/>
      <c r="F72" s="2379"/>
    </row>
    <row r="73" spans="3:6" x14ac:dyDescent="0.2">
      <c r="D73" s="2379"/>
      <c r="E73" s="2379"/>
      <c r="F73" s="2379"/>
    </row>
    <row r="74" spans="3:6" x14ac:dyDescent="0.2">
      <c r="D74" s="2379"/>
      <c r="E74" s="2379"/>
      <c r="F74" s="2379"/>
    </row>
    <row r="75" spans="3:6" x14ac:dyDescent="0.2">
      <c r="D75" s="2379"/>
      <c r="E75" s="2379"/>
      <c r="F75" s="2379"/>
    </row>
    <row r="76" spans="3:6" x14ac:dyDescent="0.2">
      <c r="D76" s="2379"/>
      <c r="E76" s="2379"/>
      <c r="F76" s="2379"/>
    </row>
    <row r="78" spans="3:6" x14ac:dyDescent="0.2">
      <c r="C78" s="971"/>
    </row>
    <row r="81" spans="4:6" x14ac:dyDescent="0.2">
      <c r="D81" s="2380"/>
      <c r="E81" s="2380"/>
      <c r="F81" s="2380"/>
    </row>
    <row r="82" spans="4:6" x14ac:dyDescent="0.2">
      <c r="D82" s="2379"/>
      <c r="E82" s="2379"/>
      <c r="F82" s="2379"/>
    </row>
    <row r="83" spans="4:6" x14ac:dyDescent="0.2">
      <c r="D83" s="2379"/>
      <c r="E83" s="2379"/>
      <c r="F83" s="2379"/>
    </row>
    <row r="84" spans="4:6" x14ac:dyDescent="0.2">
      <c r="D84" s="2379"/>
      <c r="E84" s="2379"/>
      <c r="F84" s="2379"/>
    </row>
    <row r="85" spans="4:6" x14ac:dyDescent="0.2">
      <c r="D85" s="2379"/>
      <c r="E85" s="2379"/>
      <c r="F85" s="2379"/>
    </row>
    <row r="86" spans="4:6" x14ac:dyDescent="0.2">
      <c r="D86" s="2379"/>
      <c r="E86" s="2379"/>
      <c r="F86" s="2379"/>
    </row>
    <row r="87" spans="4:6" x14ac:dyDescent="0.2">
      <c r="D87" s="2379"/>
      <c r="E87" s="2379"/>
      <c r="F87" s="2379"/>
    </row>
    <row r="88" spans="4:6" x14ac:dyDescent="0.2">
      <c r="D88" s="2379"/>
      <c r="E88" s="2379"/>
      <c r="F88" s="2379"/>
    </row>
    <row r="89" spans="4:6" x14ac:dyDescent="0.2">
      <c r="D89" s="2379"/>
      <c r="E89" s="2379"/>
      <c r="F89" s="2379"/>
    </row>
    <row r="90" spans="4:6" x14ac:dyDescent="0.2">
      <c r="D90" s="2380"/>
      <c r="E90" s="2380"/>
      <c r="F90" s="2380"/>
    </row>
    <row r="91" spans="4:6" x14ac:dyDescent="0.2">
      <c r="D91" s="2379"/>
      <c r="E91" s="2379"/>
      <c r="F91" s="2379"/>
    </row>
    <row r="92" spans="4:6" x14ac:dyDescent="0.2">
      <c r="D92" s="2379"/>
      <c r="E92" s="2379"/>
      <c r="F92" s="2379"/>
    </row>
    <row r="93" spans="4:6" x14ac:dyDescent="0.2">
      <c r="D93" s="2379"/>
      <c r="E93" s="2379"/>
      <c r="F93" s="2379"/>
    </row>
    <row r="94" spans="4:6" x14ac:dyDescent="0.2">
      <c r="D94" s="2379"/>
      <c r="E94" s="2379"/>
      <c r="F94" s="2379"/>
    </row>
    <row r="95" spans="4:6" x14ac:dyDescent="0.2">
      <c r="D95" s="2379"/>
      <c r="E95" s="2379"/>
      <c r="F95" s="2379"/>
    </row>
    <row r="96" spans="4:6" x14ac:dyDescent="0.2">
      <c r="D96" s="2379"/>
      <c r="E96" s="2379"/>
      <c r="F96" s="2379"/>
    </row>
    <row r="97" spans="4:6" x14ac:dyDescent="0.2">
      <c r="D97" s="2379"/>
      <c r="E97" s="2379"/>
      <c r="F97" s="2379"/>
    </row>
    <row r="98" spans="4:6" x14ac:dyDescent="0.2">
      <c r="D98" s="2379"/>
      <c r="E98" s="2379"/>
      <c r="F98" s="2379"/>
    </row>
  </sheetData>
  <mergeCells count="142">
    <mergeCell ref="D97:F97"/>
    <mergeCell ref="D98:F98"/>
    <mergeCell ref="D91:F91"/>
    <mergeCell ref="D92:F92"/>
    <mergeCell ref="D93:F93"/>
    <mergeCell ref="D94:F94"/>
    <mergeCell ref="D95:F95"/>
    <mergeCell ref="D96:F96"/>
    <mergeCell ref="D82:F82"/>
    <mergeCell ref="D83:F83"/>
    <mergeCell ref="D84:F84"/>
    <mergeCell ref="D85:F85"/>
    <mergeCell ref="D86:F86"/>
    <mergeCell ref="D87:F87"/>
    <mergeCell ref="D88:F88"/>
    <mergeCell ref="D89:F89"/>
    <mergeCell ref="D90:F90"/>
    <mergeCell ref="D69:F69"/>
    <mergeCell ref="D70:F70"/>
    <mergeCell ref="D71:F71"/>
    <mergeCell ref="D72:F72"/>
    <mergeCell ref="D73:F73"/>
    <mergeCell ref="D74:F74"/>
    <mergeCell ref="D75:F75"/>
    <mergeCell ref="D76:F76"/>
    <mergeCell ref="D81:F81"/>
    <mergeCell ref="E56:F56"/>
    <mergeCell ref="B57:G57"/>
    <mergeCell ref="D62:F62"/>
    <mergeCell ref="D63:F63"/>
    <mergeCell ref="D64:F64"/>
    <mergeCell ref="D65:F65"/>
    <mergeCell ref="D66:F66"/>
    <mergeCell ref="D67:F67"/>
    <mergeCell ref="D68:F68"/>
    <mergeCell ref="A46:C46"/>
    <mergeCell ref="CE46:CG46"/>
    <mergeCell ref="A47:C47"/>
    <mergeCell ref="CE47:CG47"/>
    <mergeCell ref="A48:C48"/>
    <mergeCell ref="CE48:CG48"/>
    <mergeCell ref="A49:G49"/>
    <mergeCell ref="E52:F52"/>
    <mergeCell ref="B53:G53"/>
    <mergeCell ref="A41:C41"/>
    <mergeCell ref="CE41:CG41"/>
    <mergeCell ref="A42:C42"/>
    <mergeCell ref="CE42:CG42"/>
    <mergeCell ref="A43:C43"/>
    <mergeCell ref="CE43:CG43"/>
    <mergeCell ref="A44:C44"/>
    <mergeCell ref="CE44:CG44"/>
    <mergeCell ref="A45:C45"/>
    <mergeCell ref="CE45:CG45"/>
    <mergeCell ref="A36:C36"/>
    <mergeCell ref="CE36:CG36"/>
    <mergeCell ref="A37:C37"/>
    <mergeCell ref="CE37:CG37"/>
    <mergeCell ref="A38:C38"/>
    <mergeCell ref="CE38:CG38"/>
    <mergeCell ref="A39:C39"/>
    <mergeCell ref="CE39:CG39"/>
    <mergeCell ref="A40:C40"/>
    <mergeCell ref="CE40:CG40"/>
    <mergeCell ref="A31:C31"/>
    <mergeCell ref="A32:C32"/>
    <mergeCell ref="CE32:CG32"/>
    <mergeCell ref="A33:C33"/>
    <mergeCell ref="CE33:CG33"/>
    <mergeCell ref="A34:C34"/>
    <mergeCell ref="CE34:CG34"/>
    <mergeCell ref="A35:C35"/>
    <mergeCell ref="CE35:CG35"/>
    <mergeCell ref="A25:C26"/>
    <mergeCell ref="D25:G25"/>
    <mergeCell ref="D26:G26"/>
    <mergeCell ref="E27:F27"/>
    <mergeCell ref="E28:F28"/>
    <mergeCell ref="A29:C29"/>
    <mergeCell ref="D29:E29"/>
    <mergeCell ref="F29:G29"/>
    <mergeCell ref="A30:C30"/>
    <mergeCell ref="A21:B22"/>
    <mergeCell ref="C21:C22"/>
    <mergeCell ref="D21:E21"/>
    <mergeCell ref="F21:G22"/>
    <mergeCell ref="D22:E22"/>
    <mergeCell ref="A23:B24"/>
    <mergeCell ref="C23:C24"/>
    <mergeCell ref="D23:E23"/>
    <mergeCell ref="F23:G24"/>
    <mergeCell ref="D24:E24"/>
    <mergeCell ref="A14:B20"/>
    <mergeCell ref="C14:C20"/>
    <mergeCell ref="D14:E16"/>
    <mergeCell ref="F14:G14"/>
    <mergeCell ref="F15:G15"/>
    <mergeCell ref="F16:G16"/>
    <mergeCell ref="D17:E19"/>
    <mergeCell ref="F17:G17"/>
    <mergeCell ref="F18:G18"/>
    <mergeCell ref="F19:G19"/>
    <mergeCell ref="D20:G20"/>
    <mergeCell ref="A7:B13"/>
    <mergeCell ref="C7:C13"/>
    <mergeCell ref="D7:E9"/>
    <mergeCell ref="F7:G7"/>
    <mergeCell ref="F8:G8"/>
    <mergeCell ref="F9:G9"/>
    <mergeCell ref="D10:E12"/>
    <mergeCell ref="F10:G10"/>
    <mergeCell ref="F11:G11"/>
    <mergeCell ref="F12:G12"/>
    <mergeCell ref="D13:G13"/>
    <mergeCell ref="BG4:BI4"/>
    <mergeCell ref="BJ4:BL4"/>
    <mergeCell ref="BM4:BO4"/>
    <mergeCell ref="BP4:BR4"/>
    <mergeCell ref="BS4:BU4"/>
    <mergeCell ref="BV4:BX4"/>
    <mergeCell ref="BY4:CA4"/>
    <mergeCell ref="A5:B6"/>
    <mergeCell ref="C5:C6"/>
    <mergeCell ref="D5:G6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A4:G4"/>
    <mergeCell ref="H4:J4"/>
    <mergeCell ref="K4:M4"/>
    <mergeCell ref="N4:P4"/>
    <mergeCell ref="Q4:S4"/>
    <mergeCell ref="T4:V4"/>
    <mergeCell ref="W4:Y4"/>
    <mergeCell ref="Z4:AB4"/>
    <mergeCell ref="AC4:AE4"/>
  </mergeCells>
  <conditionalFormatting sqref="H32:H37 K32:K37 N32:N37 Q32:Q37 T32:T37 W32:W37 Z32:Z37 AC32:AC37 AF32:AF37 AI32:AI37 AL32:AL37 AO32:AO37 AR32:AR37 AU32:AU37 AX32:AX37 BA32:BA37 BD32:BD37 BG32:BG37 BJ32:BJ37 BM32:BM37 BP32:BP37 BS32:BS37 BV32:BV37 BY32:BY37">
    <cfRule type="cellIs" dxfId="194" priority="195" stopIfTrue="1" operator="lessThan">
      <formula>0</formula>
    </cfRule>
  </conditionalFormatting>
  <conditionalFormatting sqref="H41:H48 K41:K48 N41:N48 Q41:Q48 T41:T48 W41:W48 Z41:Z48 AC41:AC48 AF41:AF48 AI41:AI48 AL41:AL48 AO41:AO48 AR41:AR48 AU41:AU48 AX41:AX48 BA41:BA48 BD41:BD48 BG41:BG48 BJ41:BJ48 BM41:BM48 BP41:BP48 BS41:BS48 BV41:BV48 BY41:BY48">
    <cfRule type="cellIs" dxfId="193" priority="194" stopIfTrue="1" operator="lessThan">
      <formula>0</formula>
    </cfRule>
  </conditionalFormatting>
  <conditionalFormatting sqref="H32:H39 K32:K39 N32:N39 Q32:Q39 T32:T39 W32:W39 Z32:Z39 AC32:AC39 AF32:AF39 AI32:AI39 AL32:AL39 AO32:AO39 AR32:AR39 AU32:AU39 AX32:AX39 BA32:BA39 BD32:BD39 BG32:BG39 BJ32:BJ39 BM32:BM39 BP32:BP39 BS32:BS39 BV32:BV39 BY32:BY39">
    <cfRule type="cellIs" dxfId="192" priority="193" stopIfTrue="1" operator="lessThan">
      <formula>0</formula>
    </cfRule>
  </conditionalFormatting>
  <conditionalFormatting sqref="I32:J32">
    <cfRule type="cellIs" dxfId="191" priority="192" stopIfTrue="1" operator="lessThan">
      <formula>0</formula>
    </cfRule>
  </conditionalFormatting>
  <conditionalFormatting sqref="I33:I39">
    <cfRule type="cellIs" dxfId="190" priority="191" stopIfTrue="1" operator="lessThan">
      <formula>0</formula>
    </cfRule>
  </conditionalFormatting>
  <conditionalFormatting sqref="I41:J48">
    <cfRule type="cellIs" dxfId="189" priority="190" stopIfTrue="1" operator="lessThan">
      <formula>0</formula>
    </cfRule>
  </conditionalFormatting>
  <conditionalFormatting sqref="J33:J39">
    <cfRule type="cellIs" dxfId="188" priority="189" stopIfTrue="1" operator="lessThan">
      <formula>0</formula>
    </cfRule>
  </conditionalFormatting>
  <conditionalFormatting sqref="L32:M32">
    <cfRule type="cellIs" dxfId="187" priority="188" stopIfTrue="1" operator="lessThan">
      <formula>0</formula>
    </cfRule>
  </conditionalFormatting>
  <conditionalFormatting sqref="L33:L39">
    <cfRule type="cellIs" dxfId="186" priority="187" stopIfTrue="1" operator="lessThan">
      <formula>0</formula>
    </cfRule>
  </conditionalFormatting>
  <conditionalFormatting sqref="M33:M39">
    <cfRule type="cellIs" dxfId="185" priority="186" stopIfTrue="1" operator="lessThan">
      <formula>0</formula>
    </cfRule>
  </conditionalFormatting>
  <conditionalFormatting sqref="O32:P32">
    <cfRule type="cellIs" dxfId="184" priority="185" stopIfTrue="1" operator="lessThan">
      <formula>0</formula>
    </cfRule>
  </conditionalFormatting>
  <conditionalFormatting sqref="O33:O39">
    <cfRule type="cellIs" dxfId="183" priority="184" stopIfTrue="1" operator="lessThan">
      <formula>0</formula>
    </cfRule>
  </conditionalFormatting>
  <conditionalFormatting sqref="P33:P39">
    <cfRule type="cellIs" dxfId="182" priority="183" stopIfTrue="1" operator="lessThan">
      <formula>0</formula>
    </cfRule>
  </conditionalFormatting>
  <conditionalFormatting sqref="R32:S32">
    <cfRule type="cellIs" dxfId="181" priority="182" stopIfTrue="1" operator="lessThan">
      <formula>0</formula>
    </cfRule>
  </conditionalFormatting>
  <conditionalFormatting sqref="R33:R39">
    <cfRule type="cellIs" dxfId="180" priority="181" stopIfTrue="1" operator="lessThan">
      <formula>0</formula>
    </cfRule>
  </conditionalFormatting>
  <conditionalFormatting sqref="S33:S39">
    <cfRule type="cellIs" dxfId="179" priority="180" stopIfTrue="1" operator="lessThan">
      <formula>0</formula>
    </cfRule>
  </conditionalFormatting>
  <conditionalFormatting sqref="U32:V32">
    <cfRule type="cellIs" dxfId="178" priority="179" stopIfTrue="1" operator="lessThan">
      <formula>0</formula>
    </cfRule>
  </conditionalFormatting>
  <conditionalFormatting sqref="U33:U39">
    <cfRule type="cellIs" dxfId="177" priority="178" stopIfTrue="1" operator="lessThan">
      <formula>0</formula>
    </cfRule>
  </conditionalFormatting>
  <conditionalFormatting sqref="V33:V39">
    <cfRule type="cellIs" dxfId="176" priority="177" stopIfTrue="1" operator="lessThan">
      <formula>0</formula>
    </cfRule>
  </conditionalFormatting>
  <conditionalFormatting sqref="X32:Y32">
    <cfRule type="cellIs" dxfId="175" priority="176" stopIfTrue="1" operator="lessThan">
      <formula>0</formula>
    </cfRule>
  </conditionalFormatting>
  <conditionalFormatting sqref="X33:X39">
    <cfRule type="cellIs" dxfId="174" priority="175" stopIfTrue="1" operator="lessThan">
      <formula>0</formula>
    </cfRule>
  </conditionalFormatting>
  <conditionalFormatting sqref="Y33:Y39">
    <cfRule type="cellIs" dxfId="173" priority="174" stopIfTrue="1" operator="lessThan">
      <formula>0</formula>
    </cfRule>
  </conditionalFormatting>
  <conditionalFormatting sqref="AA32:AB32">
    <cfRule type="cellIs" dxfId="172" priority="173" stopIfTrue="1" operator="lessThan">
      <formula>0</formula>
    </cfRule>
  </conditionalFormatting>
  <conditionalFormatting sqref="AA33:AA39">
    <cfRule type="cellIs" dxfId="171" priority="172" stopIfTrue="1" operator="lessThan">
      <formula>0</formula>
    </cfRule>
  </conditionalFormatting>
  <conditionalFormatting sqref="AB33:AB39">
    <cfRule type="cellIs" dxfId="170" priority="171" stopIfTrue="1" operator="lessThan">
      <formula>0</formula>
    </cfRule>
  </conditionalFormatting>
  <conditionalFormatting sqref="AD32:AE32">
    <cfRule type="cellIs" dxfId="169" priority="170" stopIfTrue="1" operator="lessThan">
      <formula>0</formula>
    </cfRule>
  </conditionalFormatting>
  <conditionalFormatting sqref="AD33:AD39">
    <cfRule type="cellIs" dxfId="168" priority="169" stopIfTrue="1" operator="lessThan">
      <formula>0</formula>
    </cfRule>
  </conditionalFormatting>
  <conditionalFormatting sqref="AE33:AE39">
    <cfRule type="cellIs" dxfId="167" priority="168" stopIfTrue="1" operator="lessThan">
      <formula>0</formula>
    </cfRule>
  </conditionalFormatting>
  <conditionalFormatting sqref="AG32:AH32">
    <cfRule type="cellIs" dxfId="166" priority="167" stopIfTrue="1" operator="lessThan">
      <formula>0</formula>
    </cfRule>
  </conditionalFormatting>
  <conditionalFormatting sqref="AG33:AG39">
    <cfRule type="cellIs" dxfId="165" priority="166" stopIfTrue="1" operator="lessThan">
      <formula>0</formula>
    </cfRule>
  </conditionalFormatting>
  <conditionalFormatting sqref="AH33:AH39">
    <cfRule type="cellIs" dxfId="164" priority="165" stopIfTrue="1" operator="lessThan">
      <formula>0</formula>
    </cfRule>
  </conditionalFormatting>
  <conditionalFormatting sqref="AJ32:AK32">
    <cfRule type="cellIs" dxfId="163" priority="164" stopIfTrue="1" operator="lessThan">
      <formula>0</formula>
    </cfRule>
  </conditionalFormatting>
  <conditionalFormatting sqref="AJ33:AJ39">
    <cfRule type="cellIs" dxfId="162" priority="163" stopIfTrue="1" operator="lessThan">
      <formula>0</formula>
    </cfRule>
  </conditionalFormatting>
  <conditionalFormatting sqref="AK33:AK39">
    <cfRule type="cellIs" dxfId="161" priority="162" stopIfTrue="1" operator="lessThan">
      <formula>0</formula>
    </cfRule>
  </conditionalFormatting>
  <conditionalFormatting sqref="AM32:AN32">
    <cfRule type="cellIs" dxfId="160" priority="161" stopIfTrue="1" operator="lessThan">
      <formula>0</formula>
    </cfRule>
  </conditionalFormatting>
  <conditionalFormatting sqref="AM33:AM39">
    <cfRule type="cellIs" dxfId="159" priority="160" stopIfTrue="1" operator="lessThan">
      <formula>0</formula>
    </cfRule>
  </conditionalFormatting>
  <conditionalFormatting sqref="AN33:AN39">
    <cfRule type="cellIs" dxfId="158" priority="159" stopIfTrue="1" operator="lessThan">
      <formula>0</formula>
    </cfRule>
  </conditionalFormatting>
  <conditionalFormatting sqref="AP32:AQ32">
    <cfRule type="cellIs" dxfId="157" priority="158" stopIfTrue="1" operator="lessThan">
      <formula>0</formula>
    </cfRule>
  </conditionalFormatting>
  <conditionalFormatting sqref="AP33:AP39">
    <cfRule type="cellIs" dxfId="156" priority="157" stopIfTrue="1" operator="lessThan">
      <formula>0</formula>
    </cfRule>
  </conditionalFormatting>
  <conditionalFormatting sqref="AQ33:AQ39">
    <cfRule type="cellIs" dxfId="155" priority="156" stopIfTrue="1" operator="lessThan">
      <formula>0</formula>
    </cfRule>
  </conditionalFormatting>
  <conditionalFormatting sqref="AS32:AT32">
    <cfRule type="cellIs" dxfId="154" priority="155" stopIfTrue="1" operator="lessThan">
      <formula>0</formula>
    </cfRule>
  </conditionalFormatting>
  <conditionalFormatting sqref="AS33:AS39">
    <cfRule type="cellIs" dxfId="153" priority="154" stopIfTrue="1" operator="lessThan">
      <formula>0</formula>
    </cfRule>
  </conditionalFormatting>
  <conditionalFormatting sqref="AT33:AT39">
    <cfRule type="cellIs" dxfId="152" priority="153" stopIfTrue="1" operator="lessThan">
      <formula>0</formula>
    </cfRule>
  </conditionalFormatting>
  <conditionalFormatting sqref="AV32:AW32">
    <cfRule type="cellIs" dxfId="151" priority="152" stopIfTrue="1" operator="lessThan">
      <formula>0</formula>
    </cfRule>
  </conditionalFormatting>
  <conditionalFormatting sqref="AV33:AV39">
    <cfRule type="cellIs" dxfId="150" priority="151" stopIfTrue="1" operator="lessThan">
      <formula>0</formula>
    </cfRule>
  </conditionalFormatting>
  <conditionalFormatting sqref="AW33:AW39">
    <cfRule type="cellIs" dxfId="149" priority="150" stopIfTrue="1" operator="lessThan">
      <formula>0</formula>
    </cfRule>
  </conditionalFormatting>
  <conditionalFormatting sqref="AY32:AZ32">
    <cfRule type="cellIs" dxfId="148" priority="149" stopIfTrue="1" operator="lessThan">
      <formula>0</formula>
    </cfRule>
  </conditionalFormatting>
  <conditionalFormatting sqref="AY33:AY39">
    <cfRule type="cellIs" dxfId="147" priority="148" stopIfTrue="1" operator="lessThan">
      <formula>0</formula>
    </cfRule>
  </conditionalFormatting>
  <conditionalFormatting sqref="AZ33:AZ39">
    <cfRule type="cellIs" dxfId="146" priority="147" stopIfTrue="1" operator="lessThan">
      <formula>0</formula>
    </cfRule>
  </conditionalFormatting>
  <conditionalFormatting sqref="BB32:BC32">
    <cfRule type="cellIs" dxfId="145" priority="146" stopIfTrue="1" operator="lessThan">
      <formula>0</formula>
    </cfRule>
  </conditionalFormatting>
  <conditionalFormatting sqref="BB33:BB39">
    <cfRule type="cellIs" dxfId="144" priority="145" stopIfTrue="1" operator="lessThan">
      <formula>0</formula>
    </cfRule>
  </conditionalFormatting>
  <conditionalFormatting sqref="BC33:BC39">
    <cfRule type="cellIs" dxfId="143" priority="144" stopIfTrue="1" operator="lessThan">
      <formula>0</formula>
    </cfRule>
  </conditionalFormatting>
  <conditionalFormatting sqref="BE32:BF32">
    <cfRule type="cellIs" dxfId="142" priority="143" stopIfTrue="1" operator="lessThan">
      <formula>0</formula>
    </cfRule>
  </conditionalFormatting>
  <conditionalFormatting sqref="BE33:BE39">
    <cfRule type="cellIs" dxfId="141" priority="142" stopIfTrue="1" operator="lessThan">
      <formula>0</formula>
    </cfRule>
  </conditionalFormatting>
  <conditionalFormatting sqref="BF33:BF39">
    <cfRule type="cellIs" dxfId="140" priority="141" stopIfTrue="1" operator="lessThan">
      <formula>0</formula>
    </cfRule>
  </conditionalFormatting>
  <conditionalFormatting sqref="BH32:BI32">
    <cfRule type="cellIs" dxfId="139" priority="140" stopIfTrue="1" operator="lessThan">
      <formula>0</formula>
    </cfRule>
  </conditionalFormatting>
  <conditionalFormatting sqref="BH33:BH39">
    <cfRule type="cellIs" dxfId="138" priority="139" stopIfTrue="1" operator="lessThan">
      <formula>0</formula>
    </cfRule>
  </conditionalFormatting>
  <conditionalFormatting sqref="BI33:BI39">
    <cfRule type="cellIs" dxfId="137" priority="138" stopIfTrue="1" operator="lessThan">
      <formula>0</formula>
    </cfRule>
  </conditionalFormatting>
  <conditionalFormatting sqref="BK32:BL32">
    <cfRule type="cellIs" dxfId="136" priority="137" stopIfTrue="1" operator="lessThan">
      <formula>0</formula>
    </cfRule>
  </conditionalFormatting>
  <conditionalFormatting sqref="BK33:BK39">
    <cfRule type="cellIs" dxfId="135" priority="136" stopIfTrue="1" operator="lessThan">
      <formula>0</formula>
    </cfRule>
  </conditionalFormatting>
  <conditionalFormatting sqref="BL33:BL39">
    <cfRule type="cellIs" dxfId="134" priority="135" stopIfTrue="1" operator="lessThan">
      <formula>0</formula>
    </cfRule>
  </conditionalFormatting>
  <conditionalFormatting sqref="BN32:BO32">
    <cfRule type="cellIs" dxfId="133" priority="134" stopIfTrue="1" operator="lessThan">
      <formula>0</formula>
    </cfRule>
  </conditionalFormatting>
  <conditionalFormatting sqref="BN33:BN39">
    <cfRule type="cellIs" dxfId="132" priority="133" stopIfTrue="1" operator="lessThan">
      <formula>0</formula>
    </cfRule>
  </conditionalFormatting>
  <conditionalFormatting sqref="BO33:BO39">
    <cfRule type="cellIs" dxfId="131" priority="132" stopIfTrue="1" operator="lessThan">
      <formula>0</formula>
    </cfRule>
  </conditionalFormatting>
  <conditionalFormatting sqref="BQ32:BR32">
    <cfRule type="cellIs" dxfId="130" priority="131" stopIfTrue="1" operator="lessThan">
      <formula>0</formula>
    </cfRule>
  </conditionalFormatting>
  <conditionalFormatting sqref="BQ33:BQ39">
    <cfRule type="cellIs" dxfId="129" priority="130" stopIfTrue="1" operator="lessThan">
      <formula>0</formula>
    </cfRule>
  </conditionalFormatting>
  <conditionalFormatting sqref="BR33:BR39">
    <cfRule type="cellIs" dxfId="128" priority="129" stopIfTrue="1" operator="lessThan">
      <formula>0</formula>
    </cfRule>
  </conditionalFormatting>
  <conditionalFormatting sqref="BT32:BU32">
    <cfRule type="cellIs" dxfId="127" priority="128" stopIfTrue="1" operator="lessThan">
      <formula>0</formula>
    </cfRule>
  </conditionalFormatting>
  <conditionalFormatting sqref="BT33:BT39">
    <cfRule type="cellIs" dxfId="126" priority="127" stopIfTrue="1" operator="lessThan">
      <formula>0</formula>
    </cfRule>
  </conditionalFormatting>
  <conditionalFormatting sqref="BU33:BU39">
    <cfRule type="cellIs" dxfId="125" priority="126" stopIfTrue="1" operator="lessThan">
      <formula>0</formula>
    </cfRule>
  </conditionalFormatting>
  <conditionalFormatting sqref="BW32:BX32">
    <cfRule type="cellIs" dxfId="124" priority="125" stopIfTrue="1" operator="lessThan">
      <formula>0</formula>
    </cfRule>
  </conditionalFormatting>
  <conditionalFormatting sqref="BW33:BW39">
    <cfRule type="cellIs" dxfId="123" priority="124" stopIfTrue="1" operator="lessThan">
      <formula>0</formula>
    </cfRule>
  </conditionalFormatting>
  <conditionalFormatting sqref="BX33:BX39">
    <cfRule type="cellIs" dxfId="122" priority="123" stopIfTrue="1" operator="lessThan">
      <formula>0</formula>
    </cfRule>
  </conditionalFormatting>
  <conditionalFormatting sqref="BZ32:CA32">
    <cfRule type="cellIs" dxfId="121" priority="122" stopIfTrue="1" operator="lessThan">
      <formula>0</formula>
    </cfRule>
  </conditionalFormatting>
  <conditionalFormatting sqref="BZ33:BZ39">
    <cfRule type="cellIs" dxfId="120" priority="121" stopIfTrue="1" operator="lessThan">
      <formula>0</formula>
    </cfRule>
  </conditionalFormatting>
  <conditionalFormatting sqref="CA33:CA39">
    <cfRule type="cellIs" dxfId="119" priority="120" stopIfTrue="1" operator="lessThan">
      <formula>0</formula>
    </cfRule>
  </conditionalFormatting>
  <conditionalFormatting sqref="L41:M48">
    <cfRule type="cellIs" dxfId="118" priority="119" stopIfTrue="1" operator="lessThan">
      <formula>0</formula>
    </cfRule>
  </conditionalFormatting>
  <conditionalFormatting sqref="O41:P48">
    <cfRule type="cellIs" dxfId="117" priority="118" stopIfTrue="1" operator="lessThan">
      <formula>0</formula>
    </cfRule>
  </conditionalFormatting>
  <conditionalFormatting sqref="R41:S48">
    <cfRule type="cellIs" dxfId="116" priority="117" stopIfTrue="1" operator="lessThan">
      <formula>0</formula>
    </cfRule>
  </conditionalFormatting>
  <conditionalFormatting sqref="U41:V48">
    <cfRule type="cellIs" dxfId="115" priority="116" stopIfTrue="1" operator="lessThan">
      <formula>0</formula>
    </cfRule>
  </conditionalFormatting>
  <conditionalFormatting sqref="X41:Y48">
    <cfRule type="cellIs" dxfId="114" priority="115" stopIfTrue="1" operator="lessThan">
      <formula>0</formula>
    </cfRule>
  </conditionalFormatting>
  <conditionalFormatting sqref="AA41:AB48">
    <cfRule type="cellIs" dxfId="113" priority="114" stopIfTrue="1" operator="lessThan">
      <formula>0</formula>
    </cfRule>
  </conditionalFormatting>
  <conditionalFormatting sqref="AD41:AE48">
    <cfRule type="cellIs" dxfId="112" priority="113" stopIfTrue="1" operator="lessThan">
      <formula>0</formula>
    </cfRule>
  </conditionalFormatting>
  <conditionalFormatting sqref="AG41:AH48">
    <cfRule type="cellIs" dxfId="111" priority="112" stopIfTrue="1" operator="lessThan">
      <formula>0</formula>
    </cfRule>
  </conditionalFormatting>
  <conditionalFormatting sqref="AJ41:AK48">
    <cfRule type="cellIs" dxfId="110" priority="111" stopIfTrue="1" operator="lessThan">
      <formula>0</formula>
    </cfRule>
  </conditionalFormatting>
  <conditionalFormatting sqref="AM41:AN48">
    <cfRule type="cellIs" dxfId="109" priority="110" stopIfTrue="1" operator="lessThan">
      <formula>0</formula>
    </cfRule>
  </conditionalFormatting>
  <conditionalFormatting sqref="AP41:AQ48">
    <cfRule type="cellIs" dxfId="108" priority="109" stopIfTrue="1" operator="lessThan">
      <formula>0</formula>
    </cfRule>
  </conditionalFormatting>
  <conditionalFormatting sqref="AS41:AT48">
    <cfRule type="cellIs" dxfId="107" priority="108" stopIfTrue="1" operator="lessThan">
      <formula>0</formula>
    </cfRule>
  </conditionalFormatting>
  <conditionalFormatting sqref="AV41:AW48">
    <cfRule type="cellIs" dxfId="106" priority="107" stopIfTrue="1" operator="lessThan">
      <formula>0</formula>
    </cfRule>
  </conditionalFormatting>
  <conditionalFormatting sqref="AY41:AZ48">
    <cfRule type="cellIs" dxfId="105" priority="106" stopIfTrue="1" operator="lessThan">
      <formula>0</formula>
    </cfRule>
  </conditionalFormatting>
  <conditionalFormatting sqref="BB41:BC48">
    <cfRule type="cellIs" dxfId="104" priority="105" stopIfTrue="1" operator="lessThan">
      <formula>0</formula>
    </cfRule>
  </conditionalFormatting>
  <conditionalFormatting sqref="BE41:BF48">
    <cfRule type="cellIs" dxfId="103" priority="104" stopIfTrue="1" operator="lessThan">
      <formula>0</formula>
    </cfRule>
  </conditionalFormatting>
  <conditionalFormatting sqref="BH41:BI48">
    <cfRule type="cellIs" dxfId="102" priority="103" stopIfTrue="1" operator="lessThan">
      <formula>0</formula>
    </cfRule>
  </conditionalFormatting>
  <conditionalFormatting sqref="BK41:BL48">
    <cfRule type="cellIs" dxfId="101" priority="102" stopIfTrue="1" operator="lessThan">
      <formula>0</formula>
    </cfRule>
  </conditionalFormatting>
  <conditionalFormatting sqref="BN41:BO48">
    <cfRule type="cellIs" dxfId="100" priority="101" stopIfTrue="1" operator="lessThan">
      <formula>0</formula>
    </cfRule>
  </conditionalFormatting>
  <conditionalFormatting sqref="BQ41:BR48">
    <cfRule type="cellIs" dxfId="99" priority="100" stopIfTrue="1" operator="lessThan">
      <formula>0</formula>
    </cfRule>
  </conditionalFormatting>
  <conditionalFormatting sqref="BT41:BU48">
    <cfRule type="cellIs" dxfId="98" priority="99" stopIfTrue="1" operator="lessThan">
      <formula>0</formula>
    </cfRule>
  </conditionalFormatting>
  <conditionalFormatting sqref="BW41:BX48">
    <cfRule type="cellIs" dxfId="97" priority="98" stopIfTrue="1" operator="lessThan">
      <formula>0</formula>
    </cfRule>
  </conditionalFormatting>
  <conditionalFormatting sqref="BZ41:CA48">
    <cfRule type="cellIs" dxfId="96" priority="97" stopIfTrue="1" operator="lessThan">
      <formula>0</formula>
    </cfRule>
  </conditionalFormatting>
  <conditionalFormatting sqref="I23">
    <cfRule type="cellIs" dxfId="95" priority="96" stopIfTrue="1" operator="lessThan">
      <formula>0</formula>
    </cfRule>
  </conditionalFormatting>
  <conditionalFormatting sqref="J23">
    <cfRule type="cellIs" dxfId="94" priority="95" stopIfTrue="1" operator="lessThan">
      <formula>0</formula>
    </cfRule>
  </conditionalFormatting>
  <conditionalFormatting sqref="L23">
    <cfRule type="cellIs" dxfId="93" priority="94" stopIfTrue="1" operator="lessThan">
      <formula>0</formula>
    </cfRule>
  </conditionalFormatting>
  <conditionalFormatting sqref="M23">
    <cfRule type="cellIs" dxfId="92" priority="93" stopIfTrue="1" operator="lessThan">
      <formula>0</formula>
    </cfRule>
  </conditionalFormatting>
  <conditionalFormatting sqref="O23">
    <cfRule type="cellIs" dxfId="91" priority="92" stopIfTrue="1" operator="lessThan">
      <formula>0</formula>
    </cfRule>
  </conditionalFormatting>
  <conditionalFormatting sqref="P23">
    <cfRule type="cellIs" dxfId="90" priority="91" stopIfTrue="1" operator="lessThan">
      <formula>0</formula>
    </cfRule>
  </conditionalFormatting>
  <conditionalFormatting sqref="R23">
    <cfRule type="cellIs" dxfId="89" priority="90" stopIfTrue="1" operator="lessThan">
      <formula>0</formula>
    </cfRule>
  </conditionalFormatting>
  <conditionalFormatting sqref="S23">
    <cfRule type="cellIs" dxfId="88" priority="89" stopIfTrue="1" operator="lessThan">
      <formula>0</formula>
    </cfRule>
  </conditionalFormatting>
  <conditionalFormatting sqref="U23">
    <cfRule type="cellIs" dxfId="87" priority="88" stopIfTrue="1" operator="lessThan">
      <formula>0</formula>
    </cfRule>
  </conditionalFormatting>
  <conditionalFormatting sqref="V23">
    <cfRule type="cellIs" dxfId="86" priority="87" stopIfTrue="1" operator="lessThan">
      <formula>0</formula>
    </cfRule>
  </conditionalFormatting>
  <conditionalFormatting sqref="X23">
    <cfRule type="cellIs" dxfId="85" priority="86" stopIfTrue="1" operator="lessThan">
      <formula>0</formula>
    </cfRule>
  </conditionalFormatting>
  <conditionalFormatting sqref="Y23">
    <cfRule type="cellIs" dxfId="84" priority="85" stopIfTrue="1" operator="lessThan">
      <formula>0</formula>
    </cfRule>
  </conditionalFormatting>
  <conditionalFormatting sqref="AA23">
    <cfRule type="cellIs" dxfId="83" priority="84" stopIfTrue="1" operator="lessThan">
      <formula>0</formula>
    </cfRule>
  </conditionalFormatting>
  <conditionalFormatting sqref="AB23">
    <cfRule type="cellIs" dxfId="82" priority="83" stopIfTrue="1" operator="lessThan">
      <formula>0</formula>
    </cfRule>
  </conditionalFormatting>
  <conditionalFormatting sqref="AD23">
    <cfRule type="cellIs" dxfId="81" priority="82" stopIfTrue="1" operator="lessThan">
      <formula>0</formula>
    </cfRule>
  </conditionalFormatting>
  <conditionalFormatting sqref="AE23">
    <cfRule type="cellIs" dxfId="80" priority="81" stopIfTrue="1" operator="lessThan">
      <formula>0</formula>
    </cfRule>
  </conditionalFormatting>
  <conditionalFormatting sqref="AG23">
    <cfRule type="cellIs" dxfId="79" priority="80" stopIfTrue="1" operator="lessThan">
      <formula>0</formula>
    </cfRule>
  </conditionalFormatting>
  <conditionalFormatting sqref="AH23">
    <cfRule type="cellIs" dxfId="78" priority="79" stopIfTrue="1" operator="lessThan">
      <formula>0</formula>
    </cfRule>
  </conditionalFormatting>
  <conditionalFormatting sqref="AJ23">
    <cfRule type="cellIs" dxfId="77" priority="78" stopIfTrue="1" operator="lessThan">
      <formula>0</formula>
    </cfRule>
  </conditionalFormatting>
  <conditionalFormatting sqref="AK23">
    <cfRule type="cellIs" dxfId="76" priority="77" stopIfTrue="1" operator="lessThan">
      <formula>0</formula>
    </cfRule>
  </conditionalFormatting>
  <conditionalFormatting sqref="AM23">
    <cfRule type="cellIs" dxfId="75" priority="76" stopIfTrue="1" operator="lessThan">
      <formula>0</formula>
    </cfRule>
  </conditionalFormatting>
  <conditionalFormatting sqref="AN23">
    <cfRule type="cellIs" dxfId="74" priority="75" stopIfTrue="1" operator="lessThan">
      <formula>0</formula>
    </cfRule>
  </conditionalFormatting>
  <conditionalFormatting sqref="AP23">
    <cfRule type="cellIs" dxfId="73" priority="74" stopIfTrue="1" operator="lessThan">
      <formula>0</formula>
    </cfRule>
  </conditionalFormatting>
  <conditionalFormatting sqref="AQ23">
    <cfRule type="cellIs" dxfId="72" priority="73" stopIfTrue="1" operator="lessThan">
      <formula>0</formula>
    </cfRule>
  </conditionalFormatting>
  <conditionalFormatting sqref="AS23">
    <cfRule type="cellIs" dxfId="71" priority="72" stopIfTrue="1" operator="lessThan">
      <formula>0</formula>
    </cfRule>
  </conditionalFormatting>
  <conditionalFormatting sqref="AT23">
    <cfRule type="cellIs" dxfId="70" priority="71" stopIfTrue="1" operator="lessThan">
      <formula>0</formula>
    </cfRule>
  </conditionalFormatting>
  <conditionalFormatting sqref="AV23">
    <cfRule type="cellIs" dxfId="69" priority="70" stopIfTrue="1" operator="lessThan">
      <formula>0</formula>
    </cfRule>
  </conditionalFormatting>
  <conditionalFormatting sqref="AW23">
    <cfRule type="cellIs" dxfId="68" priority="69" stopIfTrue="1" operator="lessThan">
      <formula>0</formula>
    </cfRule>
  </conditionalFormatting>
  <conditionalFormatting sqref="AY23">
    <cfRule type="cellIs" dxfId="67" priority="68" stopIfTrue="1" operator="lessThan">
      <formula>0</formula>
    </cfRule>
  </conditionalFormatting>
  <conditionalFormatting sqref="AZ23">
    <cfRule type="cellIs" dxfId="66" priority="67" stopIfTrue="1" operator="lessThan">
      <formula>0</formula>
    </cfRule>
  </conditionalFormatting>
  <conditionalFormatting sqref="BB23">
    <cfRule type="cellIs" dxfId="65" priority="66" stopIfTrue="1" operator="lessThan">
      <formula>0</formula>
    </cfRule>
  </conditionalFormatting>
  <conditionalFormatting sqref="BC23">
    <cfRule type="cellIs" dxfId="64" priority="65" stopIfTrue="1" operator="lessThan">
      <formula>0</formula>
    </cfRule>
  </conditionalFormatting>
  <conditionalFormatting sqref="BE23">
    <cfRule type="cellIs" dxfId="63" priority="64" stopIfTrue="1" operator="lessThan">
      <formula>0</formula>
    </cfRule>
  </conditionalFormatting>
  <conditionalFormatting sqref="BF23">
    <cfRule type="cellIs" dxfId="62" priority="63" stopIfTrue="1" operator="lessThan">
      <formula>0</formula>
    </cfRule>
  </conditionalFormatting>
  <conditionalFormatting sqref="BH23">
    <cfRule type="cellIs" dxfId="61" priority="62" stopIfTrue="1" operator="lessThan">
      <formula>0</formula>
    </cfRule>
  </conditionalFormatting>
  <conditionalFormatting sqref="BI23">
    <cfRule type="cellIs" dxfId="60" priority="61" stopIfTrue="1" operator="lessThan">
      <formula>0</formula>
    </cfRule>
  </conditionalFormatting>
  <conditionalFormatting sqref="BK23">
    <cfRule type="cellIs" dxfId="59" priority="60" stopIfTrue="1" operator="lessThan">
      <formula>0</formula>
    </cfRule>
  </conditionalFormatting>
  <conditionalFormatting sqref="BL23">
    <cfRule type="cellIs" dxfId="58" priority="59" stopIfTrue="1" operator="lessThan">
      <formula>0</formula>
    </cfRule>
  </conditionalFormatting>
  <conditionalFormatting sqref="BN23">
    <cfRule type="cellIs" dxfId="57" priority="58" stopIfTrue="1" operator="lessThan">
      <formula>0</formula>
    </cfRule>
  </conditionalFormatting>
  <conditionalFormatting sqref="BO23">
    <cfRule type="cellIs" dxfId="56" priority="57" stopIfTrue="1" operator="lessThan">
      <formula>0</formula>
    </cfRule>
  </conditionalFormatting>
  <conditionalFormatting sqref="BQ23">
    <cfRule type="cellIs" dxfId="55" priority="56" stopIfTrue="1" operator="lessThan">
      <formula>0</formula>
    </cfRule>
  </conditionalFormatting>
  <conditionalFormatting sqref="BR23">
    <cfRule type="cellIs" dxfId="54" priority="55" stopIfTrue="1" operator="lessThan">
      <formula>0</formula>
    </cfRule>
  </conditionalFormatting>
  <conditionalFormatting sqref="BT23">
    <cfRule type="cellIs" dxfId="53" priority="54" stopIfTrue="1" operator="lessThan">
      <formula>0</formula>
    </cfRule>
  </conditionalFormatting>
  <conditionalFormatting sqref="BU23">
    <cfRule type="cellIs" dxfId="52" priority="53" stopIfTrue="1" operator="lessThan">
      <formula>0</formula>
    </cfRule>
  </conditionalFormatting>
  <conditionalFormatting sqref="BW23">
    <cfRule type="cellIs" dxfId="51" priority="52" stopIfTrue="1" operator="lessThan">
      <formula>0</formula>
    </cfRule>
  </conditionalFormatting>
  <conditionalFormatting sqref="BX23">
    <cfRule type="cellIs" dxfId="50" priority="51" stopIfTrue="1" operator="lessThan">
      <formula>0</formula>
    </cfRule>
  </conditionalFormatting>
  <conditionalFormatting sqref="BZ23">
    <cfRule type="cellIs" dxfId="49" priority="50" stopIfTrue="1" operator="lessThan">
      <formula>0</formula>
    </cfRule>
  </conditionalFormatting>
  <conditionalFormatting sqref="CA23">
    <cfRule type="cellIs" dxfId="48" priority="49" stopIfTrue="1" operator="lessThan">
      <formula>0</formula>
    </cfRule>
  </conditionalFormatting>
  <conditionalFormatting sqref="I21">
    <cfRule type="cellIs" dxfId="47" priority="48" stopIfTrue="1" operator="lessThan">
      <formula>0</formula>
    </cfRule>
  </conditionalFormatting>
  <conditionalFormatting sqref="J21">
    <cfRule type="cellIs" dxfId="46" priority="47" stopIfTrue="1" operator="lessThan">
      <formula>0</formula>
    </cfRule>
  </conditionalFormatting>
  <conditionalFormatting sqref="L21">
    <cfRule type="cellIs" dxfId="45" priority="46" stopIfTrue="1" operator="lessThan">
      <formula>0</formula>
    </cfRule>
  </conditionalFormatting>
  <conditionalFormatting sqref="M21">
    <cfRule type="cellIs" dxfId="44" priority="45" stopIfTrue="1" operator="lessThan">
      <formula>0</formula>
    </cfRule>
  </conditionalFormatting>
  <conditionalFormatting sqref="O21">
    <cfRule type="cellIs" dxfId="43" priority="44" stopIfTrue="1" operator="lessThan">
      <formula>0</formula>
    </cfRule>
  </conditionalFormatting>
  <conditionalFormatting sqref="P21">
    <cfRule type="cellIs" dxfId="42" priority="43" stopIfTrue="1" operator="lessThan">
      <formula>0</formula>
    </cfRule>
  </conditionalFormatting>
  <conditionalFormatting sqref="R21">
    <cfRule type="cellIs" dxfId="41" priority="42" stopIfTrue="1" operator="lessThan">
      <formula>0</formula>
    </cfRule>
  </conditionalFormatting>
  <conditionalFormatting sqref="S21">
    <cfRule type="cellIs" dxfId="40" priority="41" stopIfTrue="1" operator="lessThan">
      <formula>0</formula>
    </cfRule>
  </conditionalFormatting>
  <conditionalFormatting sqref="U21">
    <cfRule type="cellIs" dxfId="39" priority="40" stopIfTrue="1" operator="lessThan">
      <formula>0</formula>
    </cfRule>
  </conditionalFormatting>
  <conditionalFormatting sqref="V21">
    <cfRule type="cellIs" dxfId="38" priority="39" stopIfTrue="1" operator="lessThan">
      <formula>0</formula>
    </cfRule>
  </conditionalFormatting>
  <conditionalFormatting sqref="X21">
    <cfRule type="cellIs" dxfId="37" priority="38" stopIfTrue="1" operator="lessThan">
      <formula>0</formula>
    </cfRule>
  </conditionalFormatting>
  <conditionalFormatting sqref="Y21">
    <cfRule type="cellIs" dxfId="36" priority="37" stopIfTrue="1" operator="lessThan">
      <formula>0</formula>
    </cfRule>
  </conditionalFormatting>
  <conditionalFormatting sqref="AA21">
    <cfRule type="cellIs" dxfId="35" priority="36" stopIfTrue="1" operator="lessThan">
      <formula>0</formula>
    </cfRule>
  </conditionalFormatting>
  <conditionalFormatting sqref="AB21">
    <cfRule type="cellIs" dxfId="34" priority="35" stopIfTrue="1" operator="lessThan">
      <formula>0</formula>
    </cfRule>
  </conditionalFormatting>
  <conditionalFormatting sqref="AD21">
    <cfRule type="cellIs" dxfId="33" priority="34" stopIfTrue="1" operator="lessThan">
      <formula>0</formula>
    </cfRule>
  </conditionalFormatting>
  <conditionalFormatting sqref="AE21">
    <cfRule type="cellIs" dxfId="32" priority="33" stopIfTrue="1" operator="lessThan">
      <formula>0</formula>
    </cfRule>
  </conditionalFormatting>
  <conditionalFormatting sqref="AG21">
    <cfRule type="cellIs" dxfId="31" priority="32" stopIfTrue="1" operator="lessThan">
      <formula>0</formula>
    </cfRule>
  </conditionalFormatting>
  <conditionalFormatting sqref="AH21">
    <cfRule type="cellIs" dxfId="30" priority="31" stopIfTrue="1" operator="lessThan">
      <formula>0</formula>
    </cfRule>
  </conditionalFormatting>
  <conditionalFormatting sqref="AM21">
    <cfRule type="cellIs" dxfId="29" priority="30" stopIfTrue="1" operator="lessThan">
      <formula>0</formula>
    </cfRule>
  </conditionalFormatting>
  <conditionalFormatting sqref="AN21">
    <cfRule type="cellIs" dxfId="28" priority="29" stopIfTrue="1" operator="lessThan">
      <formula>0</formula>
    </cfRule>
  </conditionalFormatting>
  <conditionalFormatting sqref="AP21">
    <cfRule type="cellIs" dxfId="27" priority="28" stopIfTrue="1" operator="lessThan">
      <formula>0</formula>
    </cfRule>
  </conditionalFormatting>
  <conditionalFormatting sqref="AQ21">
    <cfRule type="cellIs" dxfId="26" priority="27" stopIfTrue="1" operator="lessThan">
      <formula>0</formula>
    </cfRule>
  </conditionalFormatting>
  <conditionalFormatting sqref="AS21">
    <cfRule type="cellIs" dxfId="25" priority="26" stopIfTrue="1" operator="lessThan">
      <formula>0</formula>
    </cfRule>
  </conditionalFormatting>
  <conditionalFormatting sqref="AT21">
    <cfRule type="cellIs" dxfId="24" priority="25" stopIfTrue="1" operator="lessThan">
      <formula>0</formula>
    </cfRule>
  </conditionalFormatting>
  <conditionalFormatting sqref="AV21">
    <cfRule type="cellIs" dxfId="23" priority="24" stopIfTrue="1" operator="lessThan">
      <formula>0</formula>
    </cfRule>
  </conditionalFormatting>
  <conditionalFormatting sqref="AW21">
    <cfRule type="cellIs" dxfId="22" priority="23" stopIfTrue="1" operator="lessThan">
      <formula>0</formula>
    </cfRule>
  </conditionalFormatting>
  <conditionalFormatting sqref="AY21">
    <cfRule type="cellIs" dxfId="21" priority="22" stopIfTrue="1" operator="lessThan">
      <formula>0</formula>
    </cfRule>
  </conditionalFormatting>
  <conditionalFormatting sqref="AZ21">
    <cfRule type="cellIs" dxfId="20" priority="21" stopIfTrue="1" operator="lessThan">
      <formula>0</formula>
    </cfRule>
  </conditionalFormatting>
  <conditionalFormatting sqref="BB21">
    <cfRule type="cellIs" dxfId="19" priority="20" stopIfTrue="1" operator="lessThan">
      <formula>0</formula>
    </cfRule>
  </conditionalFormatting>
  <conditionalFormatting sqref="BC21">
    <cfRule type="cellIs" dxfId="18" priority="19" stopIfTrue="1" operator="lessThan">
      <formula>0</formula>
    </cfRule>
  </conditionalFormatting>
  <conditionalFormatting sqref="BE21">
    <cfRule type="cellIs" dxfId="17" priority="18" stopIfTrue="1" operator="lessThan">
      <formula>0</formula>
    </cfRule>
  </conditionalFormatting>
  <conditionalFormatting sqref="BF21">
    <cfRule type="cellIs" dxfId="16" priority="17" stopIfTrue="1" operator="lessThan">
      <formula>0</formula>
    </cfRule>
  </conditionalFormatting>
  <conditionalFormatting sqref="BH21">
    <cfRule type="cellIs" dxfId="15" priority="16" stopIfTrue="1" operator="lessThan">
      <formula>0</formula>
    </cfRule>
  </conditionalFormatting>
  <conditionalFormatting sqref="BI21">
    <cfRule type="cellIs" dxfId="14" priority="15" stopIfTrue="1" operator="lessThan">
      <formula>0</formula>
    </cfRule>
  </conditionalFormatting>
  <conditionalFormatting sqref="BK21">
    <cfRule type="cellIs" dxfId="13" priority="14" stopIfTrue="1" operator="lessThan">
      <formula>0</formula>
    </cfRule>
  </conditionalFormatting>
  <conditionalFormatting sqref="BL21">
    <cfRule type="cellIs" dxfId="12" priority="13" stopIfTrue="1" operator="lessThan">
      <formula>0</formula>
    </cfRule>
  </conditionalFormatting>
  <conditionalFormatting sqref="BN21">
    <cfRule type="cellIs" dxfId="11" priority="12" stopIfTrue="1" operator="lessThan">
      <formula>0</formula>
    </cfRule>
  </conditionalFormatting>
  <conditionalFormatting sqref="BO21">
    <cfRule type="cellIs" dxfId="10" priority="11" stopIfTrue="1" operator="lessThan">
      <formula>0</formula>
    </cfRule>
  </conditionalFormatting>
  <conditionalFormatting sqref="BQ21">
    <cfRule type="cellIs" dxfId="9" priority="10" stopIfTrue="1" operator="lessThan">
      <formula>0</formula>
    </cfRule>
  </conditionalFormatting>
  <conditionalFormatting sqref="BR21">
    <cfRule type="cellIs" dxfId="8" priority="9" stopIfTrue="1" operator="lessThan">
      <formula>0</formula>
    </cfRule>
  </conditionalFormatting>
  <conditionalFormatting sqref="BT21">
    <cfRule type="cellIs" dxfId="7" priority="8" stopIfTrue="1" operator="lessThan">
      <formula>0</formula>
    </cfRule>
  </conditionalFormatting>
  <conditionalFormatting sqref="BU21">
    <cfRule type="cellIs" dxfId="6" priority="7" stopIfTrue="1" operator="lessThan">
      <formula>0</formula>
    </cfRule>
  </conditionalFormatting>
  <conditionalFormatting sqref="BW21">
    <cfRule type="cellIs" dxfId="5" priority="6" stopIfTrue="1" operator="lessThan">
      <formula>0</formula>
    </cfRule>
  </conditionalFormatting>
  <conditionalFormatting sqref="BX21">
    <cfRule type="cellIs" dxfId="4" priority="5" stopIfTrue="1" operator="lessThan">
      <formula>0</formula>
    </cfRule>
  </conditionalFormatting>
  <conditionalFormatting sqref="BZ21">
    <cfRule type="cellIs" dxfId="3" priority="4" stopIfTrue="1" operator="lessThan">
      <formula>0</formula>
    </cfRule>
  </conditionalFormatting>
  <conditionalFormatting sqref="CA21">
    <cfRule type="cellIs" dxfId="2" priority="3" stopIfTrue="1" operator="lessThan">
      <formula>0</formula>
    </cfRule>
  </conditionalFormatting>
  <conditionalFormatting sqref="AJ21">
    <cfRule type="cellIs" dxfId="1" priority="2" stopIfTrue="1" operator="lessThan">
      <formula>0</formula>
    </cfRule>
  </conditionalFormatting>
  <conditionalFormatting sqref="AK21">
    <cfRule type="cellIs" dxfId="0" priority="1" stopIfTrue="1" operator="lessThan">
      <formula>0</formula>
    </cfRule>
  </conditionalFormatting>
  <pageMargins left="0.15748031496062992" right="0.27559055118110237" top="0.39370078740157483" bottom="0.15748031496062992" header="0.15748031496062992" footer="0.15748031496062992"/>
  <pageSetup paperSize="9" scale="84" fitToWidth="0" fitToHeight="0" orientation="landscape" r:id="rId1"/>
  <headerFooter alignWithMargins="0"/>
  <colBreaks count="2" manualBreakCount="2">
    <brk id="25" max="59" man="1"/>
    <brk id="61" max="59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45"/>
  <sheetViews>
    <sheetView showZeros="0" tabSelected="1" view="pageBreakPreview" topLeftCell="A19" zoomScaleNormal="100" zoomScaleSheetLayoutView="100" workbookViewId="0">
      <selection activeCell="T40" sqref="T40:V41"/>
    </sheetView>
  </sheetViews>
  <sheetFormatPr defaultRowHeight="12.75" x14ac:dyDescent="0.2"/>
  <cols>
    <col min="1" max="1" width="5" style="516" customWidth="1"/>
    <col min="2" max="2" width="5.140625" style="516" customWidth="1"/>
    <col min="3" max="3" width="10.42578125" style="516" customWidth="1"/>
    <col min="4" max="4" width="6" style="516" customWidth="1"/>
    <col min="5" max="5" width="3.7109375" style="516" customWidth="1"/>
    <col min="6" max="6" width="7.28515625" style="516" customWidth="1"/>
    <col min="7" max="7" width="4.42578125" style="516" customWidth="1"/>
    <col min="8" max="8" width="8.5703125" style="516" customWidth="1"/>
    <col min="9" max="10" width="7.85546875" style="516" customWidth="1"/>
    <col min="11" max="13" width="8.28515625" style="516" customWidth="1"/>
    <col min="14" max="32" width="7.85546875" style="516" customWidth="1"/>
    <col min="33" max="79" width="7.5703125" style="516" customWidth="1"/>
    <col min="80" max="80" width="14.42578125" style="516" customWidth="1"/>
    <col min="81" max="81" width="16.42578125" style="516" customWidth="1"/>
    <col min="82" max="16384" width="9.140625" style="516"/>
  </cols>
  <sheetData>
    <row r="1" spans="1:83" s="382" customFormat="1" ht="30" customHeight="1" x14ac:dyDescent="0.4">
      <c r="A1" s="495" t="s">
        <v>154</v>
      </c>
    </row>
    <row r="2" spans="1:83" s="382" customFormat="1" ht="26.25" x14ac:dyDescent="0.4">
      <c r="A2" s="496" t="s">
        <v>155</v>
      </c>
      <c r="C2" s="474"/>
      <c r="D2" s="474"/>
      <c r="E2" s="474"/>
      <c r="I2" s="497"/>
      <c r="J2" s="497"/>
      <c r="L2" s="497"/>
      <c r="M2" s="497"/>
      <c r="O2" s="497"/>
      <c r="P2" s="497"/>
      <c r="R2" s="497"/>
      <c r="S2" s="497"/>
      <c r="U2" s="497"/>
      <c r="V2" s="497"/>
      <c r="X2" s="497"/>
      <c r="Y2" s="497"/>
      <c r="AA2" s="497"/>
      <c r="AB2" s="497"/>
      <c r="AD2" s="497"/>
      <c r="AE2" s="497"/>
      <c r="AG2" s="497"/>
      <c r="AH2" s="497"/>
      <c r="AJ2" s="497"/>
      <c r="AK2" s="497"/>
      <c r="AM2" s="497"/>
      <c r="AN2" s="497"/>
      <c r="AP2" s="497"/>
      <c r="AQ2" s="497"/>
      <c r="AS2" s="497"/>
      <c r="AT2" s="497"/>
      <c r="AV2" s="497"/>
      <c r="AW2" s="497"/>
      <c r="AY2" s="497"/>
      <c r="AZ2" s="497"/>
      <c r="BB2" s="497"/>
      <c r="BC2" s="497"/>
      <c r="BE2" s="497"/>
      <c r="BF2" s="497"/>
      <c r="BH2" s="497"/>
      <c r="BI2" s="497"/>
      <c r="BK2" s="497"/>
      <c r="BL2" s="497"/>
      <c r="BN2" s="497"/>
      <c r="BO2" s="497"/>
      <c r="BQ2" s="497"/>
      <c r="BR2" s="497"/>
      <c r="BT2" s="497"/>
      <c r="BU2" s="497"/>
      <c r="BW2" s="497"/>
      <c r="BX2" s="497"/>
      <c r="BZ2" s="497"/>
      <c r="CA2" s="497"/>
    </row>
    <row r="3" spans="1:83" s="498" customFormat="1" ht="17.25" customHeight="1" thickBot="1" x14ac:dyDescent="0.25">
      <c r="B3" s="499"/>
      <c r="C3" s="499"/>
      <c r="D3" s="499"/>
      <c r="E3" s="499"/>
      <c r="F3" s="499"/>
      <c r="G3" s="499"/>
      <c r="H3" s="500"/>
      <c r="I3" s="497"/>
      <c r="J3" s="497"/>
      <c r="K3" s="500"/>
      <c r="L3" s="497"/>
      <c r="M3" s="497"/>
      <c r="N3" s="500"/>
      <c r="O3" s="497"/>
      <c r="P3" s="497"/>
      <c r="Q3" s="500"/>
      <c r="R3" s="497"/>
      <c r="S3" s="497"/>
      <c r="T3" s="500"/>
      <c r="U3" s="497"/>
      <c r="V3" s="497"/>
      <c r="W3" s="500"/>
      <c r="X3" s="497"/>
      <c r="Y3" s="497"/>
      <c r="Z3" s="500"/>
      <c r="AA3" s="497"/>
      <c r="AB3" s="497"/>
      <c r="AC3" s="500"/>
      <c r="AD3" s="497"/>
      <c r="AE3" s="497"/>
      <c r="AF3" s="500"/>
      <c r="AG3" s="497"/>
      <c r="AH3" s="497"/>
      <c r="AI3" s="500"/>
      <c r="AJ3" s="497"/>
      <c r="AK3" s="497"/>
      <c r="AL3" s="500"/>
      <c r="AM3" s="497"/>
      <c r="AN3" s="497"/>
      <c r="AO3" s="500"/>
      <c r="AP3" s="497"/>
      <c r="AQ3" s="497"/>
      <c r="AR3" s="500"/>
      <c r="AS3" s="497"/>
      <c r="AT3" s="497"/>
      <c r="AU3" s="500"/>
      <c r="AV3" s="497"/>
      <c r="AW3" s="497"/>
      <c r="AX3" s="500"/>
      <c r="AY3" s="497"/>
      <c r="AZ3" s="497"/>
      <c r="BA3" s="500"/>
      <c r="BB3" s="497"/>
      <c r="BC3" s="497"/>
      <c r="BD3" s="500"/>
      <c r="BE3" s="497"/>
      <c r="BF3" s="497"/>
      <c r="BG3" s="500"/>
      <c r="BH3" s="497"/>
      <c r="BI3" s="497"/>
      <c r="BJ3" s="500"/>
      <c r="BK3" s="497"/>
      <c r="BL3" s="497"/>
      <c r="BM3" s="500"/>
      <c r="BN3" s="497"/>
      <c r="BO3" s="497"/>
      <c r="BP3" s="500"/>
      <c r="BQ3" s="497"/>
      <c r="BR3" s="497"/>
      <c r="BS3" s="500"/>
      <c r="BT3" s="497"/>
      <c r="BU3" s="497"/>
      <c r="BV3" s="500"/>
      <c r="BW3" s="497"/>
      <c r="BX3" s="497"/>
      <c r="BY3" s="500"/>
      <c r="BZ3" s="497"/>
      <c r="CA3" s="497"/>
    </row>
    <row r="4" spans="1:83" s="501" customFormat="1" ht="21" customHeight="1" thickBot="1" x14ac:dyDescent="0.25">
      <c r="A4" s="2222" t="s">
        <v>12</v>
      </c>
      <c r="B4" s="2223"/>
      <c r="C4" s="2223"/>
      <c r="D4" s="2223"/>
      <c r="E4" s="2223"/>
      <c r="F4" s="2223"/>
      <c r="G4" s="2224"/>
      <c r="H4" s="2225" t="s">
        <v>156</v>
      </c>
      <c r="I4" s="2226"/>
      <c r="J4" s="2227"/>
      <c r="K4" s="2225" t="s">
        <v>157</v>
      </c>
      <c r="L4" s="2226"/>
      <c r="M4" s="2227"/>
      <c r="N4" s="2225" t="s">
        <v>158</v>
      </c>
      <c r="O4" s="2226"/>
      <c r="P4" s="2227"/>
      <c r="Q4" s="2225" t="s">
        <v>159</v>
      </c>
      <c r="R4" s="2226"/>
      <c r="S4" s="2227"/>
      <c r="T4" s="2225" t="s">
        <v>160</v>
      </c>
      <c r="U4" s="2226"/>
      <c r="V4" s="2227"/>
      <c r="W4" s="2225" t="s">
        <v>161</v>
      </c>
      <c r="X4" s="2226"/>
      <c r="Y4" s="2227"/>
      <c r="Z4" s="2225" t="s">
        <v>162</v>
      </c>
      <c r="AA4" s="2226"/>
      <c r="AB4" s="2227"/>
      <c r="AC4" s="2225" t="s">
        <v>163</v>
      </c>
      <c r="AD4" s="2226"/>
      <c r="AE4" s="2227"/>
      <c r="AF4" s="2225" t="s">
        <v>164</v>
      </c>
      <c r="AG4" s="2226"/>
      <c r="AH4" s="2227"/>
      <c r="AI4" s="2225" t="s">
        <v>165</v>
      </c>
      <c r="AJ4" s="2226"/>
      <c r="AK4" s="2227"/>
      <c r="AL4" s="2225" t="s">
        <v>166</v>
      </c>
      <c r="AM4" s="2226"/>
      <c r="AN4" s="2227"/>
      <c r="AO4" s="2225" t="s">
        <v>167</v>
      </c>
      <c r="AP4" s="2226"/>
      <c r="AQ4" s="2227"/>
      <c r="AR4" s="2225" t="s">
        <v>168</v>
      </c>
      <c r="AS4" s="2226"/>
      <c r="AT4" s="2227"/>
      <c r="AU4" s="2225" t="s">
        <v>169</v>
      </c>
      <c r="AV4" s="2226"/>
      <c r="AW4" s="2227"/>
      <c r="AX4" s="2225" t="s">
        <v>170</v>
      </c>
      <c r="AY4" s="2226"/>
      <c r="AZ4" s="2227"/>
      <c r="BA4" s="2225" t="s">
        <v>171</v>
      </c>
      <c r="BB4" s="2226"/>
      <c r="BC4" s="2227"/>
      <c r="BD4" s="2225" t="s">
        <v>172</v>
      </c>
      <c r="BE4" s="2226"/>
      <c r="BF4" s="2227"/>
      <c r="BG4" s="2225" t="s">
        <v>173</v>
      </c>
      <c r="BH4" s="2226"/>
      <c r="BI4" s="2227"/>
      <c r="BJ4" s="2225" t="s">
        <v>174</v>
      </c>
      <c r="BK4" s="2226"/>
      <c r="BL4" s="2227"/>
      <c r="BM4" s="2225" t="s">
        <v>175</v>
      </c>
      <c r="BN4" s="2226"/>
      <c r="BO4" s="2227"/>
      <c r="BP4" s="2225" t="s">
        <v>176</v>
      </c>
      <c r="BQ4" s="2226"/>
      <c r="BR4" s="2227"/>
      <c r="BS4" s="2225" t="s">
        <v>177</v>
      </c>
      <c r="BT4" s="2226"/>
      <c r="BU4" s="2227"/>
      <c r="BV4" s="2225" t="s">
        <v>178</v>
      </c>
      <c r="BW4" s="2226"/>
      <c r="BX4" s="2227"/>
      <c r="BY4" s="2225" t="s">
        <v>179</v>
      </c>
      <c r="BZ4" s="2226"/>
      <c r="CA4" s="2227"/>
      <c r="CC4" s="502"/>
      <c r="CE4" s="503"/>
    </row>
    <row r="5" spans="1:83" s="501" customFormat="1" ht="17.25" customHeight="1" x14ac:dyDescent="0.2">
      <c r="A5" s="2228" t="s">
        <v>180</v>
      </c>
      <c r="B5" s="2229"/>
      <c r="C5" s="2232" t="s">
        <v>181</v>
      </c>
      <c r="D5" s="2316"/>
      <c r="E5" s="2272"/>
      <c r="F5" s="2272"/>
      <c r="G5" s="2273"/>
      <c r="H5" s="506" t="s">
        <v>4</v>
      </c>
      <c r="I5" s="507" t="s">
        <v>9</v>
      </c>
      <c r="J5" s="508" t="s">
        <v>10</v>
      </c>
      <c r="K5" s="506" t="s">
        <v>4</v>
      </c>
      <c r="L5" s="507" t="s">
        <v>9</v>
      </c>
      <c r="M5" s="508" t="s">
        <v>10</v>
      </c>
      <c r="N5" s="506" t="s">
        <v>4</v>
      </c>
      <c r="O5" s="507" t="s">
        <v>9</v>
      </c>
      <c r="P5" s="508" t="s">
        <v>10</v>
      </c>
      <c r="Q5" s="506" t="s">
        <v>4</v>
      </c>
      <c r="R5" s="507" t="s">
        <v>9</v>
      </c>
      <c r="S5" s="508" t="s">
        <v>10</v>
      </c>
      <c r="T5" s="506" t="s">
        <v>4</v>
      </c>
      <c r="U5" s="507" t="s">
        <v>9</v>
      </c>
      <c r="V5" s="508" t="s">
        <v>10</v>
      </c>
      <c r="W5" s="506" t="s">
        <v>4</v>
      </c>
      <c r="X5" s="507" t="s">
        <v>9</v>
      </c>
      <c r="Y5" s="508" t="s">
        <v>10</v>
      </c>
      <c r="Z5" s="506" t="s">
        <v>4</v>
      </c>
      <c r="AA5" s="507" t="s">
        <v>9</v>
      </c>
      <c r="AB5" s="508" t="s">
        <v>10</v>
      </c>
      <c r="AC5" s="506" t="s">
        <v>4</v>
      </c>
      <c r="AD5" s="507" t="s">
        <v>9</v>
      </c>
      <c r="AE5" s="508" t="s">
        <v>10</v>
      </c>
      <c r="AF5" s="506" t="s">
        <v>4</v>
      </c>
      <c r="AG5" s="507" t="s">
        <v>9</v>
      </c>
      <c r="AH5" s="508" t="s">
        <v>10</v>
      </c>
      <c r="AI5" s="506" t="s">
        <v>4</v>
      </c>
      <c r="AJ5" s="507" t="s">
        <v>9</v>
      </c>
      <c r="AK5" s="508" t="s">
        <v>10</v>
      </c>
      <c r="AL5" s="506" t="s">
        <v>4</v>
      </c>
      <c r="AM5" s="507" t="s">
        <v>9</v>
      </c>
      <c r="AN5" s="508" t="s">
        <v>10</v>
      </c>
      <c r="AO5" s="506" t="s">
        <v>4</v>
      </c>
      <c r="AP5" s="507" t="s">
        <v>9</v>
      </c>
      <c r="AQ5" s="508" t="s">
        <v>10</v>
      </c>
      <c r="AR5" s="506" t="s">
        <v>4</v>
      </c>
      <c r="AS5" s="507" t="s">
        <v>9</v>
      </c>
      <c r="AT5" s="508" t="s">
        <v>10</v>
      </c>
      <c r="AU5" s="506" t="s">
        <v>4</v>
      </c>
      <c r="AV5" s="507" t="s">
        <v>9</v>
      </c>
      <c r="AW5" s="508" t="s">
        <v>10</v>
      </c>
      <c r="AX5" s="506" t="s">
        <v>4</v>
      </c>
      <c r="AY5" s="507" t="s">
        <v>9</v>
      </c>
      <c r="AZ5" s="508" t="s">
        <v>10</v>
      </c>
      <c r="BA5" s="506" t="s">
        <v>4</v>
      </c>
      <c r="BB5" s="507" t="s">
        <v>9</v>
      </c>
      <c r="BC5" s="508" t="s">
        <v>10</v>
      </c>
      <c r="BD5" s="506" t="s">
        <v>4</v>
      </c>
      <c r="BE5" s="507" t="s">
        <v>9</v>
      </c>
      <c r="BF5" s="508" t="s">
        <v>10</v>
      </c>
      <c r="BG5" s="506" t="s">
        <v>4</v>
      </c>
      <c r="BH5" s="507" t="s">
        <v>9</v>
      </c>
      <c r="BI5" s="508" t="s">
        <v>10</v>
      </c>
      <c r="BJ5" s="506" t="s">
        <v>4</v>
      </c>
      <c r="BK5" s="507" t="s">
        <v>9</v>
      </c>
      <c r="BL5" s="508" t="s">
        <v>10</v>
      </c>
      <c r="BM5" s="506" t="s">
        <v>4</v>
      </c>
      <c r="BN5" s="507" t="s">
        <v>9</v>
      </c>
      <c r="BO5" s="508" t="s">
        <v>10</v>
      </c>
      <c r="BP5" s="506" t="s">
        <v>4</v>
      </c>
      <c r="BQ5" s="507" t="s">
        <v>9</v>
      </c>
      <c r="BR5" s="508" t="s">
        <v>10</v>
      </c>
      <c r="BS5" s="506" t="s">
        <v>4</v>
      </c>
      <c r="BT5" s="507" t="s">
        <v>9</v>
      </c>
      <c r="BU5" s="508" t="s">
        <v>10</v>
      </c>
      <c r="BV5" s="506" t="s">
        <v>4</v>
      </c>
      <c r="BW5" s="507" t="s">
        <v>9</v>
      </c>
      <c r="BX5" s="508" t="s">
        <v>10</v>
      </c>
      <c r="BY5" s="506" t="s">
        <v>4</v>
      </c>
      <c r="BZ5" s="507" t="s">
        <v>9</v>
      </c>
      <c r="CA5" s="508" t="s">
        <v>10</v>
      </c>
    </row>
    <row r="6" spans="1:83" s="501" customFormat="1" ht="17.25" customHeight="1" thickBot="1" x14ac:dyDescent="0.25">
      <c r="A6" s="2230"/>
      <c r="B6" s="2231"/>
      <c r="C6" s="2233"/>
      <c r="D6" s="2319"/>
      <c r="E6" s="2274"/>
      <c r="F6" s="2274"/>
      <c r="G6" s="2275"/>
      <c r="H6" s="509" t="s">
        <v>30</v>
      </c>
      <c r="I6" s="510" t="s">
        <v>31</v>
      </c>
      <c r="J6" s="511" t="s">
        <v>32</v>
      </c>
      <c r="K6" s="509" t="s">
        <v>30</v>
      </c>
      <c r="L6" s="510" t="s">
        <v>31</v>
      </c>
      <c r="M6" s="511" t="s">
        <v>32</v>
      </c>
      <c r="N6" s="509" t="s">
        <v>30</v>
      </c>
      <c r="O6" s="510" t="s">
        <v>31</v>
      </c>
      <c r="P6" s="511" t="s">
        <v>32</v>
      </c>
      <c r="Q6" s="509" t="s">
        <v>30</v>
      </c>
      <c r="R6" s="510" t="s">
        <v>31</v>
      </c>
      <c r="S6" s="511" t="s">
        <v>32</v>
      </c>
      <c r="T6" s="509" t="s">
        <v>30</v>
      </c>
      <c r="U6" s="510" t="s">
        <v>31</v>
      </c>
      <c r="V6" s="511" t="s">
        <v>32</v>
      </c>
      <c r="W6" s="509" t="s">
        <v>30</v>
      </c>
      <c r="X6" s="510" t="s">
        <v>31</v>
      </c>
      <c r="Y6" s="511" t="s">
        <v>32</v>
      </c>
      <c r="Z6" s="509" t="s">
        <v>30</v>
      </c>
      <c r="AA6" s="510" t="s">
        <v>31</v>
      </c>
      <c r="AB6" s="511" t="s">
        <v>32</v>
      </c>
      <c r="AC6" s="509" t="s">
        <v>30</v>
      </c>
      <c r="AD6" s="510" t="s">
        <v>31</v>
      </c>
      <c r="AE6" s="511" t="s">
        <v>32</v>
      </c>
      <c r="AF6" s="509" t="s">
        <v>30</v>
      </c>
      <c r="AG6" s="510" t="s">
        <v>31</v>
      </c>
      <c r="AH6" s="511" t="s">
        <v>32</v>
      </c>
      <c r="AI6" s="509" t="s">
        <v>30</v>
      </c>
      <c r="AJ6" s="510" t="s">
        <v>31</v>
      </c>
      <c r="AK6" s="511" t="s">
        <v>32</v>
      </c>
      <c r="AL6" s="509" t="s">
        <v>30</v>
      </c>
      <c r="AM6" s="510" t="s">
        <v>31</v>
      </c>
      <c r="AN6" s="511" t="s">
        <v>32</v>
      </c>
      <c r="AO6" s="509" t="s">
        <v>30</v>
      </c>
      <c r="AP6" s="510" t="s">
        <v>31</v>
      </c>
      <c r="AQ6" s="511" t="s">
        <v>32</v>
      </c>
      <c r="AR6" s="509" t="s">
        <v>30</v>
      </c>
      <c r="AS6" s="510" t="s">
        <v>31</v>
      </c>
      <c r="AT6" s="511" t="s">
        <v>32</v>
      </c>
      <c r="AU6" s="509" t="s">
        <v>30</v>
      </c>
      <c r="AV6" s="510" t="s">
        <v>31</v>
      </c>
      <c r="AW6" s="511" t="s">
        <v>32</v>
      </c>
      <c r="AX6" s="509" t="s">
        <v>30</v>
      </c>
      <c r="AY6" s="510" t="s">
        <v>31</v>
      </c>
      <c r="AZ6" s="511" t="s">
        <v>32</v>
      </c>
      <c r="BA6" s="509" t="s">
        <v>30</v>
      </c>
      <c r="BB6" s="510" t="s">
        <v>31</v>
      </c>
      <c r="BC6" s="511" t="s">
        <v>32</v>
      </c>
      <c r="BD6" s="509" t="s">
        <v>30</v>
      </c>
      <c r="BE6" s="510" t="s">
        <v>31</v>
      </c>
      <c r="BF6" s="511" t="s">
        <v>32</v>
      </c>
      <c r="BG6" s="509" t="s">
        <v>30</v>
      </c>
      <c r="BH6" s="510" t="s">
        <v>31</v>
      </c>
      <c r="BI6" s="511" t="s">
        <v>32</v>
      </c>
      <c r="BJ6" s="509" t="s">
        <v>30</v>
      </c>
      <c r="BK6" s="510" t="s">
        <v>31</v>
      </c>
      <c r="BL6" s="511" t="s">
        <v>32</v>
      </c>
      <c r="BM6" s="509" t="s">
        <v>30</v>
      </c>
      <c r="BN6" s="510" t="s">
        <v>31</v>
      </c>
      <c r="BO6" s="511" t="s">
        <v>32</v>
      </c>
      <c r="BP6" s="509" t="s">
        <v>30</v>
      </c>
      <c r="BQ6" s="510" t="s">
        <v>31</v>
      </c>
      <c r="BR6" s="511" t="s">
        <v>32</v>
      </c>
      <c r="BS6" s="509" t="s">
        <v>30</v>
      </c>
      <c r="BT6" s="510" t="s">
        <v>31</v>
      </c>
      <c r="BU6" s="511" t="s">
        <v>32</v>
      </c>
      <c r="BV6" s="509" t="s">
        <v>30</v>
      </c>
      <c r="BW6" s="510" t="s">
        <v>31</v>
      </c>
      <c r="BX6" s="511" t="s">
        <v>32</v>
      </c>
      <c r="BY6" s="509" t="s">
        <v>30</v>
      </c>
      <c r="BZ6" s="510" t="s">
        <v>31</v>
      </c>
      <c r="CA6" s="511" t="s">
        <v>32</v>
      </c>
    </row>
    <row r="7" spans="1:83" ht="12.75" customHeight="1" x14ac:dyDescent="0.2">
      <c r="A7" s="2240" t="s">
        <v>0</v>
      </c>
      <c r="B7" s="2241"/>
      <c r="C7" s="2246">
        <v>16</v>
      </c>
      <c r="D7" s="2249" t="s">
        <v>13</v>
      </c>
      <c r="E7" s="2250"/>
      <c r="F7" s="2255" t="s">
        <v>33</v>
      </c>
      <c r="G7" s="2381"/>
      <c r="H7" s="512">
        <f>ROUND(SQRT(I7^2+J7^2)*1000/(SQRT(3)*H10),2)</f>
        <v>11.21</v>
      </c>
      <c r="I7" s="513">
        <v>2.0003993856986302</v>
      </c>
      <c r="J7" s="514">
        <v>1.0770403598423031</v>
      </c>
      <c r="K7" s="512">
        <f>ROUND(SQRT(L7^2+M7^2)*1000/(SQRT(3)*K10),2)</f>
        <v>10.7</v>
      </c>
      <c r="L7" s="513">
        <v>1.9090222906655723</v>
      </c>
      <c r="M7" s="514">
        <v>1.0289582067688925</v>
      </c>
      <c r="N7" s="512">
        <f>ROUND(SQRT(O7^2+P7^2)*1000/(SQRT(3)*N10),2)</f>
        <v>10.24</v>
      </c>
      <c r="O7" s="513">
        <v>1.8263067800787955</v>
      </c>
      <c r="P7" s="514">
        <v>0.98538356331128896</v>
      </c>
      <c r="Q7" s="512">
        <f>ROUND(SQRT(R7^2+S7^2)*1000/(SQRT(3)*Q10),2)</f>
        <v>9.8800000000000008</v>
      </c>
      <c r="R7" s="513">
        <v>1.76097755069863</v>
      </c>
      <c r="S7" s="514">
        <v>0.95093438563488597</v>
      </c>
      <c r="T7" s="512">
        <f>ROUND(SQRT(U7^2+V7^2)*1000/(SQRT(3)*T10),2)</f>
        <v>9.73</v>
      </c>
      <c r="U7" s="513">
        <v>1.7348390622358203</v>
      </c>
      <c r="V7" s="514">
        <v>0.9371428203205231</v>
      </c>
      <c r="W7" s="512">
        <f>ROUND(SQRT(X7^2+Y7^2)*1000/(SQRT(3)*W10),2)</f>
        <v>9.7100000000000009</v>
      </c>
      <c r="X7" s="513">
        <v>1.7304822698969773</v>
      </c>
      <c r="Y7" s="514">
        <v>0.93484356531014035</v>
      </c>
      <c r="Z7" s="512">
        <f>ROUND(SQRT(AA7^2+AB7^2)*1000/(SQRT(3)*Z10),2)</f>
        <v>9.7100000000000009</v>
      </c>
      <c r="AA7" s="513">
        <v>1.7304822698969773</v>
      </c>
      <c r="AB7" s="514">
        <v>0.93484356531014035</v>
      </c>
      <c r="AC7" s="512">
        <f>ROUND(SQRT(AD7^2+AE7^2)*1000/(SQRT(3)*AC10),2)</f>
        <v>9.9</v>
      </c>
      <c r="AD7" s="513">
        <v>1.7653335878473904</v>
      </c>
      <c r="AE7" s="514">
        <v>0.95323231906262407</v>
      </c>
      <c r="AF7" s="512">
        <f>ROUND(SQRT(AG7^2+AH7^2)*1000/(SQRT(3)*AF10),2)</f>
        <v>10.8</v>
      </c>
      <c r="AG7" s="513">
        <v>1.9264311196903656</v>
      </c>
      <c r="AH7" s="514">
        <v>1.0381231312319112</v>
      </c>
      <c r="AI7" s="512">
        <f>ROUND(SQRT(AJ7^2+AK7^2)*1000/(SQRT(3)*AI10),2)</f>
        <v>11.77</v>
      </c>
      <c r="AJ7" s="513">
        <v>2.1004244717564813</v>
      </c>
      <c r="AK7" s="514">
        <v>1.129606234043917</v>
      </c>
      <c r="AL7" s="512">
        <f>ROUND(SQRT(AM7^2+AN7^2)*1000/(SQRT(3)*AL10),2)</f>
        <v>12.74</v>
      </c>
      <c r="AM7" s="513">
        <v>2.2742452089465641</v>
      </c>
      <c r="AN7" s="514">
        <v>1.2207872608228649</v>
      </c>
      <c r="AO7" s="512">
        <f>ROUND(SQRT(AP7^2+AQ7^2)*1000/(SQRT(3)*AO10),2)</f>
        <v>13.25</v>
      </c>
      <c r="AP7" s="513">
        <v>2.3654319960787955</v>
      </c>
      <c r="AQ7" s="514">
        <v>1.2685363750698293</v>
      </c>
      <c r="AR7" s="512">
        <f>ROUND(SQRT(AS7^2+AT7^2)*1000/(SQRT(3)*AR10),2)</f>
        <v>13.51</v>
      </c>
      <c r="AS7" s="513">
        <v>2.4131775159878863</v>
      </c>
      <c r="AT7" s="514">
        <v>1.2935145875022216</v>
      </c>
      <c r="AU7" s="512">
        <f>ROUND(SQRT(AV7^2+AW7^2)*1000/(SQRT(3)*AU10),2)</f>
        <v>13.58</v>
      </c>
      <c r="AV7" s="513">
        <v>2.4261967558473905</v>
      </c>
      <c r="AW7" s="514">
        <v>1.3003228625085765</v>
      </c>
      <c r="AX7" s="512">
        <f>ROUND(SQRT(AY7^2+AZ7^2)*1000/(SQRT(3)*AX10),2)</f>
        <v>13.68</v>
      </c>
      <c r="AY7" s="513">
        <v>2.443554231946564</v>
      </c>
      <c r="AZ7" s="514">
        <v>1.3093979193517606</v>
      </c>
      <c r="BA7" s="512">
        <f>ROUND(SQRT(BB7^2+BC7^2)*1000/(SQRT(3)*BA10),2)</f>
        <v>13.27</v>
      </c>
      <c r="BB7" s="513">
        <v>2.3697730373102006</v>
      </c>
      <c r="BC7" s="514">
        <v>1.2708080656421956</v>
      </c>
      <c r="BD7" s="512">
        <f>ROUND(SQRT(BE7^2+BF7^2)*1000/(SQRT(3)*BD10),2)</f>
        <v>12.88</v>
      </c>
      <c r="BE7" s="513">
        <v>2.3003034314920185</v>
      </c>
      <c r="BF7" s="514">
        <v>1.2344383607818559</v>
      </c>
      <c r="BG7" s="512">
        <f>ROUND(SQRT(BH7^2+BI7^2)*1000/(SQRT(3)*BG10),2)</f>
        <v>12.86</v>
      </c>
      <c r="BH7" s="513">
        <v>2.2959606641118531</v>
      </c>
      <c r="BI7" s="514">
        <v>1.232163649449159</v>
      </c>
      <c r="BJ7" s="512">
        <f>ROUND(SQRT(BK7^2+BL7^2)*1000/(SQRT(3)*BJ10),2)</f>
        <v>13</v>
      </c>
      <c r="BK7" s="513">
        <v>2.3220156501283822</v>
      </c>
      <c r="BL7" s="514">
        <v>1.2458090854825303</v>
      </c>
      <c r="BM7" s="512">
        <f>ROUND(SQRT(BN7^2+BO7^2)*1000/(SQRT(3)*BM10),2)</f>
        <v>12.95</v>
      </c>
      <c r="BN7" s="513">
        <v>2.3133310863267296</v>
      </c>
      <c r="BO7" s="514">
        <v>1.2412613619948225</v>
      </c>
      <c r="BP7" s="512">
        <f>ROUND(SQRT(BQ7^2+BR7^2)*1000/(SQRT(3)*BP10),2)</f>
        <v>12.74</v>
      </c>
      <c r="BQ7" s="513">
        <v>2.2742452089465641</v>
      </c>
      <c r="BR7" s="514">
        <v>1.2207872608228649</v>
      </c>
      <c r="BS7" s="512">
        <f>ROUND(SQRT(BT7^2+BU7^2)*1000/(SQRT(3)*BS10),2)</f>
        <v>12.57</v>
      </c>
      <c r="BT7" s="513">
        <v>2.2438390405746631</v>
      </c>
      <c r="BU7" s="514">
        <v>1.2048523872501855</v>
      </c>
      <c r="BV7" s="512">
        <f>ROUND(SQRT(BW7^2+BX7^2)*1000/(SQRT(3)*BV10),2)</f>
        <v>12.45</v>
      </c>
      <c r="BW7" s="513">
        <v>2.2221171123515226</v>
      </c>
      <c r="BX7" s="514">
        <v>1.1934646707726519</v>
      </c>
      <c r="BY7" s="512">
        <f>ROUND(SQRT(BZ7^2+CA7^2)*1000/(SQRT(3)*BY10),2)</f>
        <v>12.2</v>
      </c>
      <c r="BZ7" s="513">
        <v>2.1786651645829278</v>
      </c>
      <c r="CA7" s="514">
        <v>1.1706750780035347</v>
      </c>
      <c r="CB7" s="515">
        <f>SUM(BZ7,BW7,BT7,BQ7,BN7,BK7,BH7,BE7,BB7,AY7,AV7,AS7,AP7,AM7,AJ7,AG7,AD7,AA7,X7,U7,R7,O7,L7,I7)</f>
        <v>50.927554893097692</v>
      </c>
      <c r="CC7" s="515">
        <f>SUM(CA7,BX7,BU7,BR7,BO7,BL7,BI7,BF7,BC7,AZ7,AW7,AT7,AQ7,AN7,AK7,AH7,AE7,AB7,Y7,V7,S7,P7,M7,J7)</f>
        <v>27.376927076291675</v>
      </c>
      <c r="CE7" s="517"/>
    </row>
    <row r="8" spans="1:83" x14ac:dyDescent="0.2">
      <c r="A8" s="2242"/>
      <c r="B8" s="2243"/>
      <c r="C8" s="2247"/>
      <c r="D8" s="2251"/>
      <c r="E8" s="2252"/>
      <c r="F8" s="2257" t="s">
        <v>41</v>
      </c>
      <c r="G8" s="2382"/>
      <c r="H8" s="518">
        <f>ROUND(SQRT(I8^2+J8^2)*1000/(SQRT(3)*H11),2)</f>
        <v>211.9</v>
      </c>
      <c r="I8" s="519">
        <v>1.9847694319056615</v>
      </c>
      <c r="J8" s="520">
        <v>1.0357748533710571</v>
      </c>
      <c r="K8" s="518">
        <f>ROUND(SQRT(L8^2+M8^2)*1000/(SQRT(3)*K11),2)</f>
        <v>202.27</v>
      </c>
      <c r="L8" s="519">
        <v>1.89356291127983</v>
      </c>
      <c r="M8" s="520">
        <v>0.99062603936014659</v>
      </c>
      <c r="N8" s="518">
        <f>ROUND(SQRT(O8^2+P8^2)*1000/(SQRT(3)*N11),2)</f>
        <v>193.54</v>
      </c>
      <c r="O8" s="519">
        <v>1.8109948936295768</v>
      </c>
      <c r="P8" s="520">
        <v>0.94958780684004307</v>
      </c>
      <c r="Q8" s="518">
        <f>ROUND(SQRT(R8^2+S8^2)*1000/(SQRT(3)*Q11),2)</f>
        <v>186.64</v>
      </c>
      <c r="R8" s="519">
        <v>1.7457775185316378</v>
      </c>
      <c r="S8" s="520">
        <v>0.91706216822614006</v>
      </c>
      <c r="T8" s="518">
        <f>ROUND(SQRT(U8^2+V8^2)*1000/(SQRT(3)*T11),2)</f>
        <v>183.88</v>
      </c>
      <c r="U8" s="519">
        <v>1.719682638396953</v>
      </c>
      <c r="V8" s="520">
        <v>0.90402052791177723</v>
      </c>
      <c r="W8" s="518">
        <f>ROUND(SQRT(X8^2+Y8^2)*1000/(SQRT(3)*W11),2)</f>
        <v>183.42</v>
      </c>
      <c r="X8" s="519">
        <v>1.7153330511469773</v>
      </c>
      <c r="Y8" s="520">
        <v>0.90184517758889449</v>
      </c>
      <c r="Z8" s="518">
        <f>ROUND(SQRT(AA8^2+AB8^2)*1000/(SQRT(3)*Z11),2)</f>
        <v>183.42</v>
      </c>
      <c r="AA8" s="519">
        <v>1.7153330511469773</v>
      </c>
      <c r="AB8" s="520">
        <v>0.90184517758889449</v>
      </c>
      <c r="AC8" s="518">
        <f>ROUND(SQRT(AD8^2+AE8^2)*1000/(SQRT(3)*AC11),2)</f>
        <v>187.1</v>
      </c>
      <c r="AD8" s="519">
        <v>1.7501262246598903</v>
      </c>
      <c r="AE8" s="520">
        <v>0.91923403134137815</v>
      </c>
      <c r="AF8" s="518">
        <f>ROUND(SQRT(AG8^2+AH8^2)*1000/(SQRT(3)*AF11),2)</f>
        <v>204.1</v>
      </c>
      <c r="AG8" s="519">
        <v>1.910939861609311</v>
      </c>
      <c r="AH8" s="520">
        <v>0.99924275132316531</v>
      </c>
      <c r="AI8" s="518">
        <f>ROUND(SQRT(AJ8^2+AK8^2)*1000/(SQRT(3)*AI11),2)</f>
        <v>222.43</v>
      </c>
      <c r="AJ8" s="519">
        <v>2.0845985953160517</v>
      </c>
      <c r="AK8" s="520">
        <v>1.0849714791351712</v>
      </c>
      <c r="AL8" s="518">
        <f>ROUND(SQRT(AM8^2+AN8^2)*1000/(SQRT(3)*AL11),2)</f>
        <v>240.7</v>
      </c>
      <c r="AM8" s="519">
        <v>2.2580559297717593</v>
      </c>
      <c r="AN8" s="520">
        <v>1.169903130914119</v>
      </c>
      <c r="AO8" s="518">
        <f>ROUND(SQRT(AP8^2+AQ8^2)*1000/(SQRT(3)*AO11),2)</f>
        <v>250.27</v>
      </c>
      <c r="AP8" s="519">
        <v>2.3490404077233267</v>
      </c>
      <c r="AQ8" s="520">
        <v>1.2141731685985835</v>
      </c>
      <c r="AR8" s="518">
        <f>ROUND(SQRT(AS8^2+AT8^2)*1000/(SQRT(3)*AR11),2)</f>
        <v>255.28</v>
      </c>
      <c r="AS8" s="519">
        <v>2.3966767898755816</v>
      </c>
      <c r="AT8" s="520">
        <v>1.2372745575934756</v>
      </c>
      <c r="AU8" s="518">
        <f>ROUND(SQRT(AV8^2+AW8^2)*1000/(SQRT(3)*AU11),2)</f>
        <v>256.64999999999998</v>
      </c>
      <c r="AV8" s="519">
        <v>2.4096658870973906</v>
      </c>
      <c r="AW8" s="520">
        <v>1.2435644747873307</v>
      </c>
      <c r="AX8" s="518">
        <f>ROUND(SQRT(AY8^2+AZ8^2)*1000/(SQRT(3)*AX11),2)</f>
        <v>258.47000000000003</v>
      </c>
      <c r="AY8" s="519">
        <v>2.4269829211496892</v>
      </c>
      <c r="AZ8" s="520">
        <v>1.2519440566305147</v>
      </c>
      <c r="BA8" s="518">
        <f>ROUND(SQRT(BB8^2+BC8^2)*1000/(SQRT(3)*BA11),2)</f>
        <v>250.73</v>
      </c>
      <c r="BB8" s="519">
        <v>2.3533716172916459</v>
      </c>
      <c r="BC8" s="520">
        <v>1.2162757857334496</v>
      </c>
      <c r="BD8" s="518">
        <f>ROUND(SQRT(BE8^2+BF8^2)*1000/(SQRT(3)*BD11),2)</f>
        <v>243.44</v>
      </c>
      <c r="BE8" s="519">
        <v>2.2840571592547136</v>
      </c>
      <c r="BF8" s="520">
        <v>1.1825741308731099</v>
      </c>
      <c r="BG8" s="518">
        <f>ROUND(SQRT(BH8^2+BI8^2)*1000/(SQRT(3)*BG11),2)</f>
        <v>242.98</v>
      </c>
      <c r="BH8" s="519">
        <v>2.2797239356938843</v>
      </c>
      <c r="BI8" s="520">
        <v>1.1804635429779131</v>
      </c>
      <c r="BJ8" s="518">
        <f>ROUND(SQRT(BK8^2+BL8^2)*1000/(SQRT(3)*BJ11),2)</f>
        <v>245.72</v>
      </c>
      <c r="BK8" s="519">
        <v>2.3057213889408823</v>
      </c>
      <c r="BL8" s="520">
        <v>1.1931195977612845</v>
      </c>
      <c r="BM8" s="518">
        <f>ROUND(SQRT(BN8^2+BO8^2)*1000/(SQRT(3)*BM11),2)</f>
        <v>244.81</v>
      </c>
      <c r="BN8" s="519">
        <v>2.2970560746900106</v>
      </c>
      <c r="BO8" s="520">
        <v>1.1889029055235767</v>
      </c>
      <c r="BP8" s="518">
        <f>ROUND(SQRT(BQ8^2+BR8^2)*1000/(SQRT(3)*BP11),2)</f>
        <v>240.7</v>
      </c>
      <c r="BQ8" s="519">
        <v>2.2580559297717593</v>
      </c>
      <c r="BR8" s="520">
        <v>1.169903130914119</v>
      </c>
      <c r="BS8" s="518">
        <f>ROUND(SQRT(BT8^2+BU8^2)*1000/(SQRT(3)*BS11),2)</f>
        <v>237.51</v>
      </c>
      <c r="BT8" s="519">
        <v>2.2277154347504444</v>
      </c>
      <c r="BU8" s="520">
        <v>1.1550976307789396</v>
      </c>
      <c r="BV8" s="518">
        <f>ROUND(SQRT(BW8^2+BX8^2)*1000/(SQRT(3)*BV11),2)</f>
        <v>235.22</v>
      </c>
      <c r="BW8" s="519">
        <v>2.2060398763564053</v>
      </c>
      <c r="BX8" s="520">
        <v>1.144507328363906</v>
      </c>
      <c r="BY8" s="518">
        <f>ROUND(SQRT(BZ8^2+CA8^2)*1000/(SQRT(3)*BY11),2)</f>
        <v>230.66</v>
      </c>
      <c r="BZ8" s="519">
        <v>2.1626793189784355</v>
      </c>
      <c r="CA8" s="520">
        <v>1.1232893605947887</v>
      </c>
      <c r="CB8" s="515">
        <f>SUM(BZ8,BW8,BT8,BQ8,BN8,BK8,BH8,BE8,BB8,AY8,AV8,AS8,AP8,AM8,AJ8,AG8,AD8,AA8,X8,U8,R8,O8,L8,I8)</f>
        <v>50.545960848968797</v>
      </c>
      <c r="CC8" s="515">
        <f>SUM(CA8,BX8,BU8,BR8,BO8,BL8,BI8,BF8,BC8,AZ8,AW8,AT8,AQ8,AN8,AK8,AH8,AE8,AB8,Y8,V8,S8,P8,M8,J8)</f>
        <v>26.275202814731777</v>
      </c>
      <c r="CE8" s="517"/>
    </row>
    <row r="9" spans="1:83" ht="13.5" customHeight="1" thickBot="1" x14ac:dyDescent="0.25">
      <c r="A9" s="2242"/>
      <c r="B9" s="2243"/>
      <c r="C9" s="2247"/>
      <c r="D9" s="2253"/>
      <c r="E9" s="2254"/>
      <c r="F9" s="2259"/>
      <c r="G9" s="2383"/>
      <c r="H9" s="523" t="s">
        <v>84</v>
      </c>
      <c r="I9" s="524" t="s">
        <v>84</v>
      </c>
      <c r="J9" s="525" t="s">
        <v>84</v>
      </c>
      <c r="K9" s="523" t="s">
        <v>84</v>
      </c>
      <c r="L9" s="524" t="s">
        <v>84</v>
      </c>
      <c r="M9" s="525" t="s">
        <v>84</v>
      </c>
      <c r="N9" s="523" t="s">
        <v>84</v>
      </c>
      <c r="O9" s="524" t="s">
        <v>84</v>
      </c>
      <c r="P9" s="525" t="s">
        <v>84</v>
      </c>
      <c r="Q9" s="523" t="s">
        <v>84</v>
      </c>
      <c r="R9" s="524" t="s">
        <v>84</v>
      </c>
      <c r="S9" s="525" t="s">
        <v>84</v>
      </c>
      <c r="T9" s="523" t="s">
        <v>84</v>
      </c>
      <c r="U9" s="524" t="s">
        <v>84</v>
      </c>
      <c r="V9" s="525" t="s">
        <v>84</v>
      </c>
      <c r="W9" s="523" t="s">
        <v>84</v>
      </c>
      <c r="X9" s="524" t="s">
        <v>84</v>
      </c>
      <c r="Y9" s="525" t="s">
        <v>84</v>
      </c>
      <c r="Z9" s="523" t="s">
        <v>84</v>
      </c>
      <c r="AA9" s="524" t="s">
        <v>84</v>
      </c>
      <c r="AB9" s="525" t="s">
        <v>84</v>
      </c>
      <c r="AC9" s="523" t="s">
        <v>84</v>
      </c>
      <c r="AD9" s="524" t="s">
        <v>84</v>
      </c>
      <c r="AE9" s="525" t="s">
        <v>84</v>
      </c>
      <c r="AF9" s="523" t="s">
        <v>84</v>
      </c>
      <c r="AG9" s="524" t="s">
        <v>84</v>
      </c>
      <c r="AH9" s="525" t="s">
        <v>84</v>
      </c>
      <c r="AI9" s="523" t="s">
        <v>84</v>
      </c>
      <c r="AJ9" s="524" t="s">
        <v>84</v>
      </c>
      <c r="AK9" s="525" t="s">
        <v>84</v>
      </c>
      <c r="AL9" s="523" t="s">
        <v>84</v>
      </c>
      <c r="AM9" s="524" t="s">
        <v>84</v>
      </c>
      <c r="AN9" s="525" t="s">
        <v>84</v>
      </c>
      <c r="AO9" s="523" t="s">
        <v>84</v>
      </c>
      <c r="AP9" s="524" t="s">
        <v>84</v>
      </c>
      <c r="AQ9" s="525" t="s">
        <v>84</v>
      </c>
      <c r="AR9" s="523" t="s">
        <v>84</v>
      </c>
      <c r="AS9" s="524" t="s">
        <v>84</v>
      </c>
      <c r="AT9" s="525" t="s">
        <v>84</v>
      </c>
      <c r="AU9" s="523" t="s">
        <v>84</v>
      </c>
      <c r="AV9" s="524" t="s">
        <v>84</v>
      </c>
      <c r="AW9" s="525" t="s">
        <v>84</v>
      </c>
      <c r="AX9" s="523" t="s">
        <v>84</v>
      </c>
      <c r="AY9" s="524" t="s">
        <v>84</v>
      </c>
      <c r="AZ9" s="525" t="s">
        <v>84</v>
      </c>
      <c r="BA9" s="523" t="s">
        <v>84</v>
      </c>
      <c r="BB9" s="524" t="s">
        <v>84</v>
      </c>
      <c r="BC9" s="525" t="s">
        <v>84</v>
      </c>
      <c r="BD9" s="523" t="s">
        <v>84</v>
      </c>
      <c r="BE9" s="524" t="s">
        <v>84</v>
      </c>
      <c r="BF9" s="525" t="s">
        <v>84</v>
      </c>
      <c r="BG9" s="523" t="s">
        <v>84</v>
      </c>
      <c r="BH9" s="524" t="s">
        <v>84</v>
      </c>
      <c r="BI9" s="525" t="s">
        <v>84</v>
      </c>
      <c r="BJ9" s="523" t="s">
        <v>84</v>
      </c>
      <c r="BK9" s="524" t="s">
        <v>84</v>
      </c>
      <c r="BL9" s="525" t="s">
        <v>84</v>
      </c>
      <c r="BM9" s="523" t="s">
        <v>84</v>
      </c>
      <c r="BN9" s="524" t="s">
        <v>84</v>
      </c>
      <c r="BO9" s="525" t="s">
        <v>84</v>
      </c>
      <c r="BP9" s="523" t="s">
        <v>84</v>
      </c>
      <c r="BQ9" s="524" t="s">
        <v>84</v>
      </c>
      <c r="BR9" s="525" t="s">
        <v>84</v>
      </c>
      <c r="BS9" s="523" t="s">
        <v>84</v>
      </c>
      <c r="BT9" s="524" t="s">
        <v>84</v>
      </c>
      <c r="BU9" s="525" t="s">
        <v>84</v>
      </c>
      <c r="BV9" s="523" t="s">
        <v>84</v>
      </c>
      <c r="BW9" s="524" t="s">
        <v>84</v>
      </c>
      <c r="BX9" s="525" t="s">
        <v>84</v>
      </c>
      <c r="BY9" s="523" t="s">
        <v>84</v>
      </c>
      <c r="BZ9" s="524" t="s">
        <v>84</v>
      </c>
      <c r="CA9" s="525" t="s">
        <v>84</v>
      </c>
    </row>
    <row r="10" spans="1:83" x14ac:dyDescent="0.2">
      <c r="A10" s="2242"/>
      <c r="B10" s="2243"/>
      <c r="C10" s="2247"/>
      <c r="D10" s="2249" t="s">
        <v>14</v>
      </c>
      <c r="E10" s="2250"/>
      <c r="F10" s="2255" t="s">
        <v>33</v>
      </c>
      <c r="G10" s="2381"/>
      <c r="H10" s="2384">
        <v>117</v>
      </c>
      <c r="I10" s="2385"/>
      <c r="J10" s="2386"/>
      <c r="K10" s="2384">
        <v>117</v>
      </c>
      <c r="L10" s="2385"/>
      <c r="M10" s="2386"/>
      <c r="N10" s="2384">
        <v>117</v>
      </c>
      <c r="O10" s="2385"/>
      <c r="P10" s="2386"/>
      <c r="Q10" s="2384">
        <v>117</v>
      </c>
      <c r="R10" s="2385"/>
      <c r="S10" s="2386"/>
      <c r="T10" s="2384">
        <v>117</v>
      </c>
      <c r="U10" s="2385"/>
      <c r="V10" s="2386"/>
      <c r="W10" s="2384">
        <v>117</v>
      </c>
      <c r="X10" s="2385"/>
      <c r="Y10" s="2386"/>
      <c r="Z10" s="2384">
        <v>117</v>
      </c>
      <c r="AA10" s="2385"/>
      <c r="AB10" s="2386"/>
      <c r="AC10" s="2384">
        <v>117</v>
      </c>
      <c r="AD10" s="2385"/>
      <c r="AE10" s="2386"/>
      <c r="AF10" s="2384">
        <v>117</v>
      </c>
      <c r="AG10" s="2385"/>
      <c r="AH10" s="2386"/>
      <c r="AI10" s="2384">
        <v>117</v>
      </c>
      <c r="AJ10" s="2385"/>
      <c r="AK10" s="2386"/>
      <c r="AL10" s="2384">
        <v>117</v>
      </c>
      <c r="AM10" s="2385"/>
      <c r="AN10" s="2386"/>
      <c r="AO10" s="2384">
        <v>117</v>
      </c>
      <c r="AP10" s="2385"/>
      <c r="AQ10" s="2386"/>
      <c r="AR10" s="2384">
        <v>117</v>
      </c>
      <c r="AS10" s="2385"/>
      <c r="AT10" s="2386"/>
      <c r="AU10" s="2384">
        <v>117</v>
      </c>
      <c r="AV10" s="2385"/>
      <c r="AW10" s="2386"/>
      <c r="AX10" s="2384">
        <v>117</v>
      </c>
      <c r="AY10" s="2385"/>
      <c r="AZ10" s="2386"/>
      <c r="BA10" s="2384">
        <v>117</v>
      </c>
      <c r="BB10" s="2385"/>
      <c r="BC10" s="2386"/>
      <c r="BD10" s="2384">
        <v>117</v>
      </c>
      <c r="BE10" s="2385"/>
      <c r="BF10" s="2386"/>
      <c r="BG10" s="2384">
        <v>117</v>
      </c>
      <c r="BH10" s="2385"/>
      <c r="BI10" s="2386"/>
      <c r="BJ10" s="2384">
        <v>117</v>
      </c>
      <c r="BK10" s="2385"/>
      <c r="BL10" s="2386"/>
      <c r="BM10" s="2384">
        <v>117</v>
      </c>
      <c r="BN10" s="2385"/>
      <c r="BO10" s="2386"/>
      <c r="BP10" s="2384">
        <v>117</v>
      </c>
      <c r="BQ10" s="2385"/>
      <c r="BR10" s="2386"/>
      <c r="BS10" s="2384">
        <v>117</v>
      </c>
      <c r="BT10" s="2385"/>
      <c r="BU10" s="2386"/>
      <c r="BV10" s="2384">
        <v>117</v>
      </c>
      <c r="BW10" s="2385"/>
      <c r="BX10" s="2386"/>
      <c r="BY10" s="2384">
        <v>117</v>
      </c>
      <c r="BZ10" s="2385"/>
      <c r="CA10" s="2386"/>
      <c r="CB10" s="2387">
        <v>0</v>
      </c>
      <c r="CC10" s="2388"/>
      <c r="CD10" s="2389"/>
    </row>
    <row r="11" spans="1:83" x14ac:dyDescent="0.2">
      <c r="A11" s="2242"/>
      <c r="B11" s="2243"/>
      <c r="C11" s="2247"/>
      <c r="D11" s="2251"/>
      <c r="E11" s="2252"/>
      <c r="F11" s="2257" t="s">
        <v>41</v>
      </c>
      <c r="G11" s="2382"/>
      <c r="H11" s="2390">
        <v>6.1</v>
      </c>
      <c r="I11" s="2391"/>
      <c r="J11" s="2392"/>
      <c r="K11" s="2390">
        <v>6.1</v>
      </c>
      <c r="L11" s="2391"/>
      <c r="M11" s="2392"/>
      <c r="N11" s="2390">
        <v>6.1</v>
      </c>
      <c r="O11" s="2391"/>
      <c r="P11" s="2392"/>
      <c r="Q11" s="2390">
        <v>6.1</v>
      </c>
      <c r="R11" s="2391"/>
      <c r="S11" s="2392"/>
      <c r="T11" s="2390">
        <v>6.1</v>
      </c>
      <c r="U11" s="2391"/>
      <c r="V11" s="2392"/>
      <c r="W11" s="2390">
        <v>6.1</v>
      </c>
      <c r="X11" s="2391"/>
      <c r="Y11" s="2392"/>
      <c r="Z11" s="2390">
        <v>6.1</v>
      </c>
      <c r="AA11" s="2391"/>
      <c r="AB11" s="2392"/>
      <c r="AC11" s="2390">
        <v>6.1</v>
      </c>
      <c r="AD11" s="2391"/>
      <c r="AE11" s="2392"/>
      <c r="AF11" s="2390">
        <v>6.1</v>
      </c>
      <c r="AG11" s="2391"/>
      <c r="AH11" s="2392"/>
      <c r="AI11" s="2390">
        <v>6.1</v>
      </c>
      <c r="AJ11" s="2391"/>
      <c r="AK11" s="2392"/>
      <c r="AL11" s="2390">
        <v>6.1</v>
      </c>
      <c r="AM11" s="2391"/>
      <c r="AN11" s="2392"/>
      <c r="AO11" s="2390">
        <v>6.1</v>
      </c>
      <c r="AP11" s="2391"/>
      <c r="AQ11" s="2392"/>
      <c r="AR11" s="2390">
        <v>6.1</v>
      </c>
      <c r="AS11" s="2391"/>
      <c r="AT11" s="2392"/>
      <c r="AU11" s="2390">
        <v>6.1</v>
      </c>
      <c r="AV11" s="2391"/>
      <c r="AW11" s="2392"/>
      <c r="AX11" s="2390">
        <v>6.1</v>
      </c>
      <c r="AY11" s="2391"/>
      <c r="AZ11" s="2392"/>
      <c r="BA11" s="2390">
        <v>6.1</v>
      </c>
      <c r="BB11" s="2391"/>
      <c r="BC11" s="2392"/>
      <c r="BD11" s="2390">
        <v>6.1</v>
      </c>
      <c r="BE11" s="2391"/>
      <c r="BF11" s="2392"/>
      <c r="BG11" s="2390">
        <v>6.1</v>
      </c>
      <c r="BH11" s="2391"/>
      <c r="BI11" s="2392"/>
      <c r="BJ11" s="2390">
        <v>6.1</v>
      </c>
      <c r="BK11" s="2391"/>
      <c r="BL11" s="2392"/>
      <c r="BM11" s="2390">
        <v>6.1</v>
      </c>
      <c r="BN11" s="2391"/>
      <c r="BO11" s="2392"/>
      <c r="BP11" s="2390">
        <v>6.1</v>
      </c>
      <c r="BQ11" s="2391"/>
      <c r="BR11" s="2392"/>
      <c r="BS11" s="2390">
        <v>6.1</v>
      </c>
      <c r="BT11" s="2391"/>
      <c r="BU11" s="2392"/>
      <c r="BV11" s="2390">
        <v>6.1</v>
      </c>
      <c r="BW11" s="2391"/>
      <c r="BX11" s="2392"/>
      <c r="BY11" s="2390">
        <v>6.1</v>
      </c>
      <c r="BZ11" s="2391"/>
      <c r="CA11" s="2392"/>
      <c r="CB11" s="2393">
        <v>0</v>
      </c>
      <c r="CC11" s="2394"/>
      <c r="CD11" s="2395"/>
    </row>
    <row r="12" spans="1:83" ht="13.5" thickBot="1" x14ac:dyDescent="0.25">
      <c r="A12" s="2242"/>
      <c r="B12" s="2243"/>
      <c r="C12" s="2247"/>
      <c r="D12" s="2253"/>
      <c r="E12" s="2254"/>
      <c r="F12" s="2259"/>
      <c r="G12" s="2260"/>
      <c r="H12" s="2279" t="s">
        <v>84</v>
      </c>
      <c r="I12" s="2280"/>
      <c r="J12" s="2281"/>
      <c r="K12" s="2279" t="s">
        <v>84</v>
      </c>
      <c r="L12" s="2280"/>
      <c r="M12" s="2281"/>
      <c r="N12" s="2279" t="s">
        <v>84</v>
      </c>
      <c r="O12" s="2280"/>
      <c r="P12" s="2281"/>
      <c r="Q12" s="2279" t="s">
        <v>84</v>
      </c>
      <c r="R12" s="2280"/>
      <c r="S12" s="2281"/>
      <c r="T12" s="2279" t="s">
        <v>84</v>
      </c>
      <c r="U12" s="2280"/>
      <c r="V12" s="2281"/>
      <c r="W12" s="2279" t="s">
        <v>84</v>
      </c>
      <c r="X12" s="2280"/>
      <c r="Y12" s="2281"/>
      <c r="Z12" s="2279" t="s">
        <v>84</v>
      </c>
      <c r="AA12" s="2280"/>
      <c r="AB12" s="2281"/>
      <c r="AC12" s="2279" t="s">
        <v>84</v>
      </c>
      <c r="AD12" s="2280"/>
      <c r="AE12" s="2281"/>
      <c r="AF12" s="2279" t="s">
        <v>84</v>
      </c>
      <c r="AG12" s="2280"/>
      <c r="AH12" s="2281"/>
      <c r="AI12" s="2279" t="s">
        <v>84</v>
      </c>
      <c r="AJ12" s="2280"/>
      <c r="AK12" s="2281"/>
      <c r="AL12" s="2279" t="s">
        <v>84</v>
      </c>
      <c r="AM12" s="2280"/>
      <c r="AN12" s="2281"/>
      <c r="AO12" s="2279" t="s">
        <v>84</v>
      </c>
      <c r="AP12" s="2280"/>
      <c r="AQ12" s="2281"/>
      <c r="AR12" s="2279" t="s">
        <v>84</v>
      </c>
      <c r="AS12" s="2280"/>
      <c r="AT12" s="2281"/>
      <c r="AU12" s="2279" t="s">
        <v>84</v>
      </c>
      <c r="AV12" s="2280"/>
      <c r="AW12" s="2281"/>
      <c r="AX12" s="2279" t="s">
        <v>84</v>
      </c>
      <c r="AY12" s="2280"/>
      <c r="AZ12" s="2281"/>
      <c r="BA12" s="2279" t="s">
        <v>84</v>
      </c>
      <c r="BB12" s="2280"/>
      <c r="BC12" s="2281"/>
      <c r="BD12" s="2279" t="s">
        <v>84</v>
      </c>
      <c r="BE12" s="2280"/>
      <c r="BF12" s="2281"/>
      <c r="BG12" s="2279" t="s">
        <v>84</v>
      </c>
      <c r="BH12" s="2280"/>
      <c r="BI12" s="2281"/>
      <c r="BJ12" s="2279" t="s">
        <v>84</v>
      </c>
      <c r="BK12" s="2280"/>
      <c r="BL12" s="2281"/>
      <c r="BM12" s="2279" t="s">
        <v>84</v>
      </c>
      <c r="BN12" s="2280"/>
      <c r="BO12" s="2281"/>
      <c r="BP12" s="2279" t="s">
        <v>84</v>
      </c>
      <c r="BQ12" s="2280"/>
      <c r="BR12" s="2281"/>
      <c r="BS12" s="2279" t="s">
        <v>84</v>
      </c>
      <c r="BT12" s="2280"/>
      <c r="BU12" s="2281"/>
      <c r="BV12" s="2279" t="s">
        <v>84</v>
      </c>
      <c r="BW12" s="2280"/>
      <c r="BX12" s="2281"/>
      <c r="BY12" s="2279" t="s">
        <v>84</v>
      </c>
      <c r="BZ12" s="2280"/>
      <c r="CA12" s="2281"/>
    </row>
    <row r="13" spans="1:83" ht="13.5" thickBot="1" x14ac:dyDescent="0.25">
      <c r="A13" s="2244"/>
      <c r="B13" s="2245"/>
      <c r="C13" s="2248"/>
      <c r="D13" s="2261" t="s">
        <v>39</v>
      </c>
      <c r="E13" s="2262"/>
      <c r="F13" s="2262"/>
      <c r="G13" s="2263"/>
      <c r="H13" s="2396">
        <v>8</v>
      </c>
      <c r="I13" s="2397"/>
      <c r="J13" s="2398"/>
      <c r="K13" s="2396">
        <v>8</v>
      </c>
      <c r="L13" s="2397"/>
      <c r="M13" s="2398"/>
      <c r="N13" s="2396">
        <v>8</v>
      </c>
      <c r="O13" s="2397"/>
      <c r="P13" s="2398"/>
      <c r="Q13" s="2396">
        <v>8</v>
      </c>
      <c r="R13" s="2397"/>
      <c r="S13" s="2398"/>
      <c r="T13" s="2396">
        <v>8</v>
      </c>
      <c r="U13" s="2397"/>
      <c r="V13" s="2398"/>
      <c r="W13" s="2396">
        <v>8</v>
      </c>
      <c r="X13" s="2397"/>
      <c r="Y13" s="2398"/>
      <c r="Z13" s="2396">
        <v>8</v>
      </c>
      <c r="AA13" s="2397"/>
      <c r="AB13" s="2398"/>
      <c r="AC13" s="2396">
        <v>8</v>
      </c>
      <c r="AD13" s="2397"/>
      <c r="AE13" s="2398"/>
      <c r="AF13" s="2396">
        <v>8</v>
      </c>
      <c r="AG13" s="2397"/>
      <c r="AH13" s="2398"/>
      <c r="AI13" s="2396">
        <v>8</v>
      </c>
      <c r="AJ13" s="2397"/>
      <c r="AK13" s="2398"/>
      <c r="AL13" s="2396">
        <v>8</v>
      </c>
      <c r="AM13" s="2397"/>
      <c r="AN13" s="2398"/>
      <c r="AO13" s="2396">
        <v>8</v>
      </c>
      <c r="AP13" s="2397"/>
      <c r="AQ13" s="2398"/>
      <c r="AR13" s="2396">
        <v>8</v>
      </c>
      <c r="AS13" s="2397"/>
      <c r="AT13" s="2398"/>
      <c r="AU13" s="2396">
        <v>8</v>
      </c>
      <c r="AV13" s="2397"/>
      <c r="AW13" s="2398"/>
      <c r="AX13" s="2396">
        <v>8</v>
      </c>
      <c r="AY13" s="2397"/>
      <c r="AZ13" s="2398"/>
      <c r="BA13" s="2396">
        <v>8</v>
      </c>
      <c r="BB13" s="2397"/>
      <c r="BC13" s="2398"/>
      <c r="BD13" s="2396">
        <v>8</v>
      </c>
      <c r="BE13" s="2397"/>
      <c r="BF13" s="2398"/>
      <c r="BG13" s="2396">
        <v>8</v>
      </c>
      <c r="BH13" s="2397"/>
      <c r="BI13" s="2398"/>
      <c r="BJ13" s="2396">
        <v>8</v>
      </c>
      <c r="BK13" s="2397"/>
      <c r="BL13" s="2398"/>
      <c r="BM13" s="2396">
        <v>8</v>
      </c>
      <c r="BN13" s="2397"/>
      <c r="BO13" s="2398"/>
      <c r="BP13" s="2396">
        <v>8</v>
      </c>
      <c r="BQ13" s="2397"/>
      <c r="BR13" s="2398"/>
      <c r="BS13" s="2396">
        <v>8</v>
      </c>
      <c r="BT13" s="2397"/>
      <c r="BU13" s="2398"/>
      <c r="BV13" s="2396">
        <v>8</v>
      </c>
      <c r="BW13" s="2397"/>
      <c r="BX13" s="2398"/>
      <c r="BY13" s="2396">
        <v>8</v>
      </c>
      <c r="BZ13" s="2397"/>
      <c r="CA13" s="2398"/>
    </row>
    <row r="14" spans="1:83" x14ac:dyDescent="0.2">
      <c r="A14" s="2249" t="s">
        <v>1</v>
      </c>
      <c r="B14" s="2250"/>
      <c r="C14" s="2246">
        <v>16</v>
      </c>
      <c r="D14" s="2249" t="s">
        <v>13</v>
      </c>
      <c r="E14" s="2250"/>
      <c r="F14" s="2349" t="s">
        <v>33</v>
      </c>
      <c r="G14" s="2399"/>
      <c r="H14" s="512">
        <f>ROUND(SQRT(I14^2+J14^2)*1000/(SQRT(3)*H17),2)</f>
        <v>10.73</v>
      </c>
      <c r="I14" s="513">
        <v>1.9133746597482171</v>
      </c>
      <c r="J14" s="514">
        <v>1.0312497210809282</v>
      </c>
      <c r="K14" s="512">
        <f>ROUND(SQRT(L14^2+M14^2)*1000/(SQRT(3)*K17),2)</f>
        <v>10.14</v>
      </c>
      <c r="L14" s="513">
        <v>1.8088880256986302</v>
      </c>
      <c r="M14" s="514">
        <v>0.97620126947636932</v>
      </c>
      <c r="N14" s="512">
        <f>ROUND(SQRT(O14^2+P14^2)*1000/(SQRT(3)*N17),2)</f>
        <v>9.61</v>
      </c>
      <c r="O14" s="513">
        <v>1.7130540216986301</v>
      </c>
      <c r="P14" s="514">
        <v>0.92564465729340262</v>
      </c>
      <c r="Q14" s="512">
        <f>ROUND(SQRT(R14^2+S14^2)*1000/(SQRT(3)*Q17),2)</f>
        <v>9.24</v>
      </c>
      <c r="R14" s="513">
        <v>1.6476827174424318</v>
      </c>
      <c r="S14" s="514">
        <v>0.89112184858394172</v>
      </c>
      <c r="T14" s="512">
        <f>ROUND(SQRT(U14^2+V14^2)*1000/(SQRT(3)*T17),2)</f>
        <v>9.0500000000000007</v>
      </c>
      <c r="U14" s="513">
        <v>1.6128080964837541</v>
      </c>
      <c r="V14" s="514">
        <v>0.87269231456699514</v>
      </c>
      <c r="W14" s="512">
        <f>ROUND(SQRT(X14^2+Y14^2)*1000/(SQRT(3)*W17),2)</f>
        <v>9.02</v>
      </c>
      <c r="X14" s="513">
        <v>1.6084482833845806</v>
      </c>
      <c r="Y14" s="514">
        <v>0.87038777322603389</v>
      </c>
      <c r="Z14" s="512">
        <f>ROUND(SQRT(AA14^2+AB14^2)*1000/(SQRT(3)*Z17),2)</f>
        <v>9.0500000000000007</v>
      </c>
      <c r="AA14" s="513">
        <v>1.6128080964837541</v>
      </c>
      <c r="AB14" s="514">
        <v>0.87269231456699514</v>
      </c>
      <c r="AC14" s="512">
        <f>ROUND(SQRT(AD14^2+AE14^2)*1000/(SQRT(3)*AC17),2)</f>
        <v>9.27</v>
      </c>
      <c r="AD14" s="513">
        <v>1.6520415595829276</v>
      </c>
      <c r="AE14" s="514">
        <v>0.89342469074721709</v>
      </c>
      <c r="AF14" s="512">
        <f>ROUND(SQRT(AG14^2+AH14^2)*1000/(SQRT(3)*AF17),2)</f>
        <v>10.34</v>
      </c>
      <c r="AG14" s="513">
        <v>1.8437238083102006</v>
      </c>
      <c r="AH14" s="514">
        <v>0.99456283638587795</v>
      </c>
      <c r="AI14" s="512">
        <f>ROUND(SQRT(AJ14^2+AK14^2)*1000/(SQRT(3)*AI17),2)</f>
        <v>11.55</v>
      </c>
      <c r="AJ14" s="513">
        <v>2.0612910174011092</v>
      </c>
      <c r="AK14" s="514">
        <v>1.1090488731653478</v>
      </c>
      <c r="AL14" s="512">
        <f>ROUND(SQRT(AM14^2+AN14^2)*1000/(SQRT(3)*AL17),2)</f>
        <v>12.35</v>
      </c>
      <c r="AM14" s="513">
        <v>2.2047376278556547</v>
      </c>
      <c r="AN14" s="514">
        <v>1.1843510992352526</v>
      </c>
      <c r="AO14" s="512">
        <f>ROUND(SQRT(AP14^2+AQ14^2)*1000/(SQRT(3)*AO17),2)</f>
        <v>12.57</v>
      </c>
      <c r="AP14" s="513">
        <v>2.2438390405746631</v>
      </c>
      <c r="AQ14" s="514">
        <v>1.2048523872501855</v>
      </c>
      <c r="AR14" s="512">
        <f>ROUND(SQRT(AS14^2+AT14^2)*1000/(SQRT(3)*AR17),2)</f>
        <v>12.86</v>
      </c>
      <c r="AS14" s="513">
        <v>2.2959606641118531</v>
      </c>
      <c r="AT14" s="514">
        <v>1.232163649449159</v>
      </c>
      <c r="AU14" s="512">
        <f>ROUND(SQRT(AV14^2+AW14^2)*1000/(SQRT(3)*AU17),2)</f>
        <v>12.95</v>
      </c>
      <c r="AV14" s="513">
        <v>2.3133310863267296</v>
      </c>
      <c r="AW14" s="514">
        <v>1.2412613619948225</v>
      </c>
      <c r="AX14" s="512">
        <f>ROUND(SQRT(AY14^2+AZ14^2)*1000/(SQRT(3)*AX17),2)</f>
        <v>13.03</v>
      </c>
      <c r="AY14" s="513">
        <v>2.3263577702027622</v>
      </c>
      <c r="AZ14" s="514">
        <v>1.248082664030103</v>
      </c>
      <c r="BA14" s="512">
        <f>ROUND(SQRT(BB14^2+BC14^2)*1000/(SQRT(3)*BA17),2)</f>
        <v>12.71</v>
      </c>
      <c r="BB14" s="513">
        <v>2.2699017942606137</v>
      </c>
      <c r="BC14" s="514">
        <v>1.2185114167050444</v>
      </c>
      <c r="BD14" s="512">
        <f>ROUND(SQRT(BE14^2+BF14^2)*1000/(SQRT(3)*BD17),2)</f>
        <v>12.2</v>
      </c>
      <c r="BE14" s="513">
        <v>2.1786651645829278</v>
      </c>
      <c r="BF14" s="514">
        <v>1.1706750780035347</v>
      </c>
      <c r="BG14" s="512">
        <f>ROUND(SQRT(BH14^2+BI14^2)*1000/(SQRT(3)*BG17),2)</f>
        <v>12.3</v>
      </c>
      <c r="BH14" s="513">
        <v>2.1960472383019356</v>
      </c>
      <c r="BI14" s="514">
        <v>1.1797931806814295</v>
      </c>
      <c r="BJ14" s="512">
        <f>ROUND(SQRT(BK14^2+BL14^2)*1000/(SQRT(3)*BJ17),2)</f>
        <v>12.52</v>
      </c>
      <c r="BK14" s="513">
        <v>2.2351505929382993</v>
      </c>
      <c r="BL14" s="514">
        <v>1.2002978670517339</v>
      </c>
      <c r="BM14" s="512">
        <f>ROUND(SQRT(BN14^2+BO14^2)*1000/(SQRT(3)*BM17),2)</f>
        <v>12.47</v>
      </c>
      <c r="BN14" s="513">
        <v>2.226461713764746</v>
      </c>
      <c r="BO14" s="514">
        <v>1.1957425916631998</v>
      </c>
      <c r="BP14" s="512">
        <f>ROUND(SQRT(BQ14^2+BR14^2)*1000/(SQRT(3)*BP17),2)</f>
        <v>12.35</v>
      </c>
      <c r="BQ14" s="513">
        <v>2.2047376278556547</v>
      </c>
      <c r="BR14" s="514">
        <v>1.1843510992352526</v>
      </c>
      <c r="BS14" s="512">
        <f>ROUND(SQRT(BT14^2+BU14^2)*1000/(SQRT(3)*BS17),2)</f>
        <v>12.23</v>
      </c>
      <c r="BT14" s="513">
        <v>2.1830108448391261</v>
      </c>
      <c r="BU14" s="514">
        <v>1.1729548868692894</v>
      </c>
      <c r="BV14" s="512">
        <f>ROUND(SQRT(BW14^2+BX14^2)*1000/(SQRT(3)*BV17),2)</f>
        <v>12.11</v>
      </c>
      <c r="BW14" s="513">
        <v>2.1612813647151592</v>
      </c>
      <c r="BX14" s="514">
        <v>1.1615539545653093</v>
      </c>
      <c r="BY14" s="512">
        <f>ROUND(SQRT(BZ14^2+CA14^2)*1000/(SQRT(3)*BY17),2)</f>
        <v>11.82</v>
      </c>
      <c r="BZ14" s="513">
        <v>2.1091196082192911</v>
      </c>
      <c r="CA14" s="514">
        <v>1.1341724596886493</v>
      </c>
      <c r="CB14" s="515">
        <f>SUM(BZ14,BW14,BT14,BQ14,BN14,BK14,BH14,BE14,BB14,AY14,AV14,AS14,AP14,AM14,AJ14,AG14,AD14,AA14,X14,U14,R14,O14,L14,I14)</f>
        <v>48.622722424783646</v>
      </c>
      <c r="CC14" s="515">
        <f>SUM(CA14,BX14,BU14,BR14,BO14,BL14,BI14,BF14,BC14,AZ14,AW14,AT14,AQ14,AN14,AK14,AH14,AE14,AB14,Y14,V14,S14,P14,M14,J14)</f>
        <v>26.165789995516082</v>
      </c>
      <c r="CE14" s="517"/>
    </row>
    <row r="15" spans="1:83" x14ac:dyDescent="0.2">
      <c r="A15" s="2251"/>
      <c r="B15" s="2252"/>
      <c r="C15" s="2247"/>
      <c r="D15" s="2251"/>
      <c r="E15" s="2252"/>
      <c r="F15" s="2257" t="s">
        <v>41</v>
      </c>
      <c r="G15" s="2382"/>
      <c r="H15" s="518">
        <f>ROUND(SQRT(I15^2+J15^2)*1000/(SQRT(3)*H18),2)</f>
        <v>202.72</v>
      </c>
      <c r="I15" s="519">
        <v>1.8978137451974357</v>
      </c>
      <c r="J15" s="520">
        <v>0.99296662326441476</v>
      </c>
      <c r="K15" s="518">
        <f>ROUND(SQRT(L15^2+M15^2)*1000/(SQRT(3)*K18),2)</f>
        <v>191.7</v>
      </c>
      <c r="L15" s="519">
        <v>1.793511036929099</v>
      </c>
      <c r="M15" s="520">
        <v>0.94111092165985588</v>
      </c>
      <c r="N15" s="518">
        <f>ROUND(SQRT(O15^2+P15^2)*1000/(SQRT(3)*N18),2)</f>
        <v>181.58</v>
      </c>
      <c r="O15" s="519">
        <v>1.6978366134955052</v>
      </c>
      <c r="P15" s="520">
        <v>0.89332445322688925</v>
      </c>
      <c r="Q15" s="518">
        <f>ROUND(SQRT(R15^2+S15^2)*1000/(SQRT(3)*Q18),2)</f>
        <v>174.67</v>
      </c>
      <c r="R15" s="519">
        <v>1.6325691684922365</v>
      </c>
      <c r="S15" s="520">
        <v>0.86060452732992831</v>
      </c>
      <c r="T15" s="518">
        <f>ROUND(SQRT(U15^2+V15^2)*1000/(SQRT(3)*T18),2)</f>
        <v>170.99</v>
      </c>
      <c r="U15" s="519">
        <v>1.5977482994866838</v>
      </c>
      <c r="V15" s="520">
        <v>0.8431080683129818</v>
      </c>
      <c r="W15" s="518">
        <f>ROUND(SQRT(X15^2+Y15^2)*1000/(SQRT(3)*W18),2)</f>
        <v>170.52</v>
      </c>
      <c r="X15" s="519">
        <v>1.5933951251814555</v>
      </c>
      <c r="Y15" s="520">
        <v>0.84091876915952046</v>
      </c>
      <c r="Z15" s="518">
        <f>ROUND(SQRT(AA15^2+AB15^2)*1000/(SQRT(3)*Z18),2)</f>
        <v>170.99</v>
      </c>
      <c r="AA15" s="519">
        <v>1.5977482994866838</v>
      </c>
      <c r="AB15" s="520">
        <v>0.8431080683129818</v>
      </c>
      <c r="AC15" s="518">
        <f>ROUND(SQRT(AD15^2+AE15^2)*1000/(SQRT(3)*AC18),2)</f>
        <v>175.13</v>
      </c>
      <c r="AD15" s="519">
        <v>1.6369212114383964</v>
      </c>
      <c r="AE15" s="520">
        <v>0.86278934293070364</v>
      </c>
      <c r="AF15" s="518">
        <f>ROUND(SQRT(AG15^2+AH15^2)*1000/(SQRT(3)*AF18),2)</f>
        <v>195.38</v>
      </c>
      <c r="AG15" s="519">
        <v>1.8282866515719194</v>
      </c>
      <c r="AH15" s="520">
        <v>0.95842803856936454</v>
      </c>
      <c r="AI15" s="518">
        <f>ROUND(SQRT(AJ15^2+AK15^2)*1000/(SQRT(3)*AI18),2)</f>
        <v>218.31</v>
      </c>
      <c r="AJ15" s="519">
        <v>2.0454519685729844</v>
      </c>
      <c r="AK15" s="520">
        <v>1.0659376690988345</v>
      </c>
      <c r="AL15" s="518">
        <f>ROUND(SQRT(AM15^2+AN15^2)*1000/(SQRT(3)*AL18),2)</f>
        <v>233.4</v>
      </c>
      <c r="AM15" s="519">
        <v>2.1886089226554595</v>
      </c>
      <c r="AN15" s="520">
        <v>1.1362117779812393</v>
      </c>
      <c r="AO15" s="518">
        <f>ROUND(SQRT(AP15^2+AQ15^2)*1000/(SQRT(3)*AO18),2)</f>
        <v>237.51</v>
      </c>
      <c r="AP15" s="519">
        <v>2.2276279697738817</v>
      </c>
      <c r="AQ15" s="520">
        <v>1.1552832894336722</v>
      </c>
      <c r="AR15" s="518">
        <f>ROUND(SQRT(AS15^2+AT15^2)*1000/(SQRT(3)*AR18),2)</f>
        <v>242.98</v>
      </c>
      <c r="AS15" s="519">
        <v>2.2796375269048217</v>
      </c>
      <c r="AT15" s="520">
        <v>1.1806492016326455</v>
      </c>
      <c r="AU15" s="518">
        <f>ROUND(SQRT(AV15^2+AW15^2)*1000/(SQRT(3)*AU18),2)</f>
        <v>244.81</v>
      </c>
      <c r="AV15" s="519">
        <v>2.2969700233384485</v>
      </c>
      <c r="AW15" s="520">
        <v>1.1890885641783091</v>
      </c>
      <c r="AX15" s="518">
        <f>ROUND(SQRT(AY15^2+AZ15^2)*1000/(SQRT(3)*AX18),2)</f>
        <v>246.17</v>
      </c>
      <c r="AY15" s="519">
        <v>2.3099680757447545</v>
      </c>
      <c r="AZ15" s="520">
        <v>1.1954128552760896</v>
      </c>
      <c r="BA15" s="518">
        <f>ROUND(SQRT(BB15^2+BC15^2)*1000/(SQRT(3)*BA18),2)</f>
        <v>240.25</v>
      </c>
      <c r="BB15" s="519">
        <v>2.2536350110574888</v>
      </c>
      <c r="BC15" s="520">
        <v>1.167975212638531</v>
      </c>
      <c r="BD15" s="518">
        <f>ROUND(SQRT(BE15^2+BF15^2)*1000/(SQRT(3)*BD18),2)</f>
        <v>230.66</v>
      </c>
      <c r="BE15" s="519">
        <v>2.1625905677811699</v>
      </c>
      <c r="BF15" s="520">
        <v>1.1234750192495213</v>
      </c>
      <c r="BG15" s="518">
        <f>ROUND(SQRT(BH15^2+BI15^2)*1000/(SQRT(3)*BG18),2)</f>
        <v>232.48</v>
      </c>
      <c r="BH15" s="519">
        <v>2.1799366405236151</v>
      </c>
      <c r="BI15" s="520">
        <v>1.1319681844274161</v>
      </c>
      <c r="BJ15" s="518">
        <f>ROUND(SQRT(BK15^2+BL15^2)*1000/(SQRT(3)*BJ18),2)</f>
        <v>236.59</v>
      </c>
      <c r="BK15" s="519">
        <v>2.2189579503601742</v>
      </c>
      <c r="BL15" s="520">
        <v>1.1510486629852206</v>
      </c>
      <c r="BM15" s="518">
        <f>ROUND(SQRT(BN15^2+BO15^2)*1000/(SQRT(3)*BM18),2)</f>
        <v>235.68</v>
      </c>
      <c r="BN15" s="519">
        <v>2.2102874281202149</v>
      </c>
      <c r="BO15" s="520">
        <v>1.1468120438466864</v>
      </c>
      <c r="BP15" s="518">
        <f>ROUND(SQRT(BQ15^2+BR15^2)*1000/(SQRT(3)*BP18),2)</f>
        <v>233.4</v>
      </c>
      <c r="BQ15" s="519">
        <v>2.1886089226554595</v>
      </c>
      <c r="BR15" s="520">
        <v>1.1362117779812393</v>
      </c>
      <c r="BS15" s="518">
        <f>ROUND(SQRT(BT15^2+BU15^2)*1000/(SQRT(3)*BS18),2)</f>
        <v>231.11</v>
      </c>
      <c r="BT15" s="519">
        <v>2.1669272745266261</v>
      </c>
      <c r="BU15" s="520">
        <v>1.1255990578027759</v>
      </c>
      <c r="BV15" s="518">
        <f>ROUND(SQRT(BW15^2+BX15^2)*1000/(SQRT(3)*BV18),2)</f>
        <v>228.83</v>
      </c>
      <c r="BW15" s="519">
        <v>2.1452424837337141</v>
      </c>
      <c r="BX15" s="520">
        <v>1.1149738833112959</v>
      </c>
      <c r="BY15" s="518">
        <f>ROUND(SQRT(BZ15^2+CA15^2)*1000/(SQRT(3)*BY18),2)</f>
        <v>223.34</v>
      </c>
      <c r="BZ15" s="519">
        <v>2.0931861637612834</v>
      </c>
      <c r="CA15" s="520">
        <v>1.0894226509346359</v>
      </c>
      <c r="CB15" s="515">
        <f>SUM(BZ15,BW15,BT15,BQ15,BN15,BK15,BH15,BE15,BB15,AY15,AV15,AS15,AP15,AM15,AJ15,AG15,AD15,AA15,X15,U15,R15,O15,L15,I15)</f>
        <v>48.243467080789515</v>
      </c>
      <c r="CC15" s="515">
        <f>SUM(CA15,BX15,BU15,BR15,BO15,BL15,BI15,BF15,BC15,AZ15,AW15,AT15,AQ15,AN15,AK15,AH15,AE15,AB15,Y15,V15,S15,P15,M15,J15)</f>
        <v>25.146428663544757</v>
      </c>
      <c r="CE15" s="517"/>
    </row>
    <row r="16" spans="1:83" ht="13.5" thickBot="1" x14ac:dyDescent="0.25">
      <c r="A16" s="2251"/>
      <c r="B16" s="2252"/>
      <c r="C16" s="2247"/>
      <c r="D16" s="2253"/>
      <c r="E16" s="2254"/>
      <c r="F16" s="2259"/>
      <c r="G16" s="2260"/>
      <c r="H16" s="523" t="s">
        <v>84</v>
      </c>
      <c r="I16" s="524" t="s">
        <v>84</v>
      </c>
      <c r="J16" s="525" t="s">
        <v>84</v>
      </c>
      <c r="K16" s="523" t="s">
        <v>84</v>
      </c>
      <c r="L16" s="524" t="s">
        <v>84</v>
      </c>
      <c r="M16" s="525" t="s">
        <v>84</v>
      </c>
      <c r="N16" s="523" t="s">
        <v>84</v>
      </c>
      <c r="O16" s="524" t="s">
        <v>84</v>
      </c>
      <c r="P16" s="525" t="s">
        <v>84</v>
      </c>
      <c r="Q16" s="523" t="s">
        <v>84</v>
      </c>
      <c r="R16" s="524" t="s">
        <v>84</v>
      </c>
      <c r="S16" s="525" t="s">
        <v>84</v>
      </c>
      <c r="T16" s="523" t="s">
        <v>84</v>
      </c>
      <c r="U16" s="524" t="s">
        <v>84</v>
      </c>
      <c r="V16" s="525" t="s">
        <v>84</v>
      </c>
      <c r="W16" s="523" t="s">
        <v>84</v>
      </c>
      <c r="X16" s="524" t="s">
        <v>84</v>
      </c>
      <c r="Y16" s="525" t="s">
        <v>84</v>
      </c>
      <c r="Z16" s="523" t="s">
        <v>84</v>
      </c>
      <c r="AA16" s="524" t="s">
        <v>84</v>
      </c>
      <c r="AB16" s="525" t="s">
        <v>84</v>
      </c>
      <c r="AC16" s="523" t="s">
        <v>84</v>
      </c>
      <c r="AD16" s="524" t="s">
        <v>84</v>
      </c>
      <c r="AE16" s="525" t="s">
        <v>84</v>
      </c>
      <c r="AF16" s="523" t="s">
        <v>84</v>
      </c>
      <c r="AG16" s="524" t="s">
        <v>84</v>
      </c>
      <c r="AH16" s="525" t="s">
        <v>84</v>
      </c>
      <c r="AI16" s="523" t="s">
        <v>84</v>
      </c>
      <c r="AJ16" s="524" t="s">
        <v>84</v>
      </c>
      <c r="AK16" s="525" t="s">
        <v>84</v>
      </c>
      <c r="AL16" s="523" t="s">
        <v>84</v>
      </c>
      <c r="AM16" s="524" t="s">
        <v>84</v>
      </c>
      <c r="AN16" s="525" t="s">
        <v>84</v>
      </c>
      <c r="AO16" s="523" t="s">
        <v>84</v>
      </c>
      <c r="AP16" s="524" t="s">
        <v>84</v>
      </c>
      <c r="AQ16" s="525" t="s">
        <v>84</v>
      </c>
      <c r="AR16" s="523" t="s">
        <v>84</v>
      </c>
      <c r="AS16" s="524" t="s">
        <v>84</v>
      </c>
      <c r="AT16" s="525" t="s">
        <v>84</v>
      </c>
      <c r="AU16" s="523" t="s">
        <v>84</v>
      </c>
      <c r="AV16" s="524" t="s">
        <v>84</v>
      </c>
      <c r="AW16" s="525" t="s">
        <v>84</v>
      </c>
      <c r="AX16" s="523" t="s">
        <v>84</v>
      </c>
      <c r="AY16" s="524" t="s">
        <v>84</v>
      </c>
      <c r="AZ16" s="525" t="s">
        <v>84</v>
      </c>
      <c r="BA16" s="523" t="s">
        <v>84</v>
      </c>
      <c r="BB16" s="524" t="s">
        <v>84</v>
      </c>
      <c r="BC16" s="525" t="s">
        <v>84</v>
      </c>
      <c r="BD16" s="523" t="s">
        <v>84</v>
      </c>
      <c r="BE16" s="524" t="s">
        <v>84</v>
      </c>
      <c r="BF16" s="525" t="s">
        <v>84</v>
      </c>
      <c r="BG16" s="523" t="s">
        <v>84</v>
      </c>
      <c r="BH16" s="524" t="s">
        <v>84</v>
      </c>
      <c r="BI16" s="525" t="s">
        <v>84</v>
      </c>
      <c r="BJ16" s="523" t="s">
        <v>84</v>
      </c>
      <c r="BK16" s="524" t="s">
        <v>84</v>
      </c>
      <c r="BL16" s="525" t="s">
        <v>84</v>
      </c>
      <c r="BM16" s="523" t="s">
        <v>84</v>
      </c>
      <c r="BN16" s="524" t="s">
        <v>84</v>
      </c>
      <c r="BO16" s="525" t="s">
        <v>84</v>
      </c>
      <c r="BP16" s="523" t="s">
        <v>84</v>
      </c>
      <c r="BQ16" s="524" t="s">
        <v>84</v>
      </c>
      <c r="BR16" s="525" t="s">
        <v>84</v>
      </c>
      <c r="BS16" s="523" t="s">
        <v>84</v>
      </c>
      <c r="BT16" s="524" t="s">
        <v>84</v>
      </c>
      <c r="BU16" s="525" t="s">
        <v>84</v>
      </c>
      <c r="BV16" s="523" t="s">
        <v>84</v>
      </c>
      <c r="BW16" s="524" t="s">
        <v>84</v>
      </c>
      <c r="BX16" s="525" t="s">
        <v>84</v>
      </c>
      <c r="BY16" s="523" t="s">
        <v>84</v>
      </c>
      <c r="BZ16" s="524" t="s">
        <v>84</v>
      </c>
      <c r="CA16" s="525" t="s">
        <v>84</v>
      </c>
    </row>
    <row r="17" spans="1:88" x14ac:dyDescent="0.2">
      <c r="A17" s="2251"/>
      <c r="B17" s="2252"/>
      <c r="C17" s="2247"/>
      <c r="D17" s="2249" t="s">
        <v>14</v>
      </c>
      <c r="E17" s="2250"/>
      <c r="F17" s="2255" t="s">
        <v>33</v>
      </c>
      <c r="G17" s="2381"/>
      <c r="H17" s="2384">
        <v>117</v>
      </c>
      <c r="I17" s="2385"/>
      <c r="J17" s="2386"/>
      <c r="K17" s="2384">
        <v>117</v>
      </c>
      <c r="L17" s="2385"/>
      <c r="M17" s="2386"/>
      <c r="N17" s="2384">
        <v>117</v>
      </c>
      <c r="O17" s="2385"/>
      <c r="P17" s="2386"/>
      <c r="Q17" s="2384">
        <v>117</v>
      </c>
      <c r="R17" s="2385"/>
      <c r="S17" s="2386"/>
      <c r="T17" s="2384">
        <v>117</v>
      </c>
      <c r="U17" s="2385"/>
      <c r="V17" s="2386"/>
      <c r="W17" s="2384">
        <v>117</v>
      </c>
      <c r="X17" s="2385"/>
      <c r="Y17" s="2386"/>
      <c r="Z17" s="2384">
        <v>117</v>
      </c>
      <c r="AA17" s="2385"/>
      <c r="AB17" s="2386"/>
      <c r="AC17" s="2384">
        <v>117</v>
      </c>
      <c r="AD17" s="2385"/>
      <c r="AE17" s="2386"/>
      <c r="AF17" s="2384">
        <v>117</v>
      </c>
      <c r="AG17" s="2385"/>
      <c r="AH17" s="2386"/>
      <c r="AI17" s="2384">
        <v>117</v>
      </c>
      <c r="AJ17" s="2385"/>
      <c r="AK17" s="2386"/>
      <c r="AL17" s="2384">
        <v>117</v>
      </c>
      <c r="AM17" s="2385"/>
      <c r="AN17" s="2386"/>
      <c r="AO17" s="2384">
        <v>117</v>
      </c>
      <c r="AP17" s="2385"/>
      <c r="AQ17" s="2386"/>
      <c r="AR17" s="2384">
        <v>117</v>
      </c>
      <c r="AS17" s="2385"/>
      <c r="AT17" s="2386"/>
      <c r="AU17" s="2384">
        <v>117</v>
      </c>
      <c r="AV17" s="2385"/>
      <c r="AW17" s="2386"/>
      <c r="AX17" s="2384">
        <v>117</v>
      </c>
      <c r="AY17" s="2385"/>
      <c r="AZ17" s="2386"/>
      <c r="BA17" s="2384">
        <v>117</v>
      </c>
      <c r="BB17" s="2385"/>
      <c r="BC17" s="2386"/>
      <c r="BD17" s="2384">
        <v>117</v>
      </c>
      <c r="BE17" s="2385"/>
      <c r="BF17" s="2386"/>
      <c r="BG17" s="2384">
        <v>117</v>
      </c>
      <c r="BH17" s="2385"/>
      <c r="BI17" s="2386"/>
      <c r="BJ17" s="2384">
        <v>117</v>
      </c>
      <c r="BK17" s="2385"/>
      <c r="BL17" s="2386"/>
      <c r="BM17" s="2384">
        <v>117</v>
      </c>
      <c r="BN17" s="2385"/>
      <c r="BO17" s="2386"/>
      <c r="BP17" s="2384">
        <v>117</v>
      </c>
      <c r="BQ17" s="2385"/>
      <c r="BR17" s="2386"/>
      <c r="BS17" s="2384">
        <v>117</v>
      </c>
      <c r="BT17" s="2385"/>
      <c r="BU17" s="2386"/>
      <c r="BV17" s="2384">
        <v>117</v>
      </c>
      <c r="BW17" s="2385"/>
      <c r="BX17" s="2386"/>
      <c r="BY17" s="2384">
        <v>117</v>
      </c>
      <c r="BZ17" s="2385"/>
      <c r="CA17" s="2386"/>
      <c r="CB17" s="527"/>
    </row>
    <row r="18" spans="1:88" x14ac:dyDescent="0.2">
      <c r="A18" s="2251"/>
      <c r="B18" s="2252"/>
      <c r="C18" s="2247"/>
      <c r="D18" s="2251"/>
      <c r="E18" s="2252"/>
      <c r="F18" s="2257" t="s">
        <v>41</v>
      </c>
      <c r="G18" s="2382"/>
      <c r="H18" s="2390">
        <v>6.1</v>
      </c>
      <c r="I18" s="2391"/>
      <c r="J18" s="2392"/>
      <c r="K18" s="2390">
        <v>6.1</v>
      </c>
      <c r="L18" s="2391"/>
      <c r="M18" s="2392"/>
      <c r="N18" s="2390">
        <v>6.1</v>
      </c>
      <c r="O18" s="2391"/>
      <c r="P18" s="2392"/>
      <c r="Q18" s="2390">
        <v>6.1</v>
      </c>
      <c r="R18" s="2391"/>
      <c r="S18" s="2392"/>
      <c r="T18" s="2390">
        <v>6.1</v>
      </c>
      <c r="U18" s="2391"/>
      <c r="V18" s="2392"/>
      <c r="W18" s="2390">
        <v>6.1</v>
      </c>
      <c r="X18" s="2391"/>
      <c r="Y18" s="2392"/>
      <c r="Z18" s="2390">
        <v>6.1</v>
      </c>
      <c r="AA18" s="2391"/>
      <c r="AB18" s="2392"/>
      <c r="AC18" s="2390">
        <v>6.1</v>
      </c>
      <c r="AD18" s="2391"/>
      <c r="AE18" s="2392"/>
      <c r="AF18" s="2390">
        <v>6.1</v>
      </c>
      <c r="AG18" s="2391"/>
      <c r="AH18" s="2392"/>
      <c r="AI18" s="2390">
        <v>6.1</v>
      </c>
      <c r="AJ18" s="2391"/>
      <c r="AK18" s="2392"/>
      <c r="AL18" s="2390">
        <v>6.1</v>
      </c>
      <c r="AM18" s="2391"/>
      <c r="AN18" s="2392"/>
      <c r="AO18" s="2390">
        <v>6.1</v>
      </c>
      <c r="AP18" s="2391"/>
      <c r="AQ18" s="2392"/>
      <c r="AR18" s="2390">
        <v>6.1</v>
      </c>
      <c r="AS18" s="2391"/>
      <c r="AT18" s="2392"/>
      <c r="AU18" s="2390">
        <v>6.1</v>
      </c>
      <c r="AV18" s="2391"/>
      <c r="AW18" s="2392"/>
      <c r="AX18" s="2390">
        <v>6.1</v>
      </c>
      <c r="AY18" s="2391"/>
      <c r="AZ18" s="2392"/>
      <c r="BA18" s="2390">
        <v>6.1</v>
      </c>
      <c r="BB18" s="2391"/>
      <c r="BC18" s="2392"/>
      <c r="BD18" s="2390">
        <v>6.1</v>
      </c>
      <c r="BE18" s="2391"/>
      <c r="BF18" s="2392"/>
      <c r="BG18" s="2390">
        <v>6.1</v>
      </c>
      <c r="BH18" s="2391"/>
      <c r="BI18" s="2392"/>
      <c r="BJ18" s="2390">
        <v>6.1</v>
      </c>
      <c r="BK18" s="2391"/>
      <c r="BL18" s="2392"/>
      <c r="BM18" s="2390">
        <v>6.1</v>
      </c>
      <c r="BN18" s="2391"/>
      <c r="BO18" s="2392"/>
      <c r="BP18" s="2390">
        <v>6.1</v>
      </c>
      <c r="BQ18" s="2391"/>
      <c r="BR18" s="2392"/>
      <c r="BS18" s="2390">
        <v>6.1</v>
      </c>
      <c r="BT18" s="2391"/>
      <c r="BU18" s="2392"/>
      <c r="BV18" s="2390">
        <v>6.1</v>
      </c>
      <c r="BW18" s="2391"/>
      <c r="BX18" s="2392"/>
      <c r="BY18" s="2390">
        <v>6.1</v>
      </c>
      <c r="BZ18" s="2391"/>
      <c r="CA18" s="2392"/>
      <c r="CB18" s="527"/>
    </row>
    <row r="19" spans="1:88" ht="13.5" thickBot="1" x14ac:dyDescent="0.25">
      <c r="A19" s="2251"/>
      <c r="B19" s="2252"/>
      <c r="C19" s="2247"/>
      <c r="D19" s="2253"/>
      <c r="E19" s="2254"/>
      <c r="F19" s="2259"/>
      <c r="G19" s="2260"/>
      <c r="H19" s="2279" t="s">
        <v>84</v>
      </c>
      <c r="I19" s="2280"/>
      <c r="J19" s="2281"/>
      <c r="K19" s="2279" t="s">
        <v>84</v>
      </c>
      <c r="L19" s="2280"/>
      <c r="M19" s="2281"/>
      <c r="N19" s="2279" t="s">
        <v>84</v>
      </c>
      <c r="O19" s="2280"/>
      <c r="P19" s="2281"/>
      <c r="Q19" s="2279" t="s">
        <v>84</v>
      </c>
      <c r="R19" s="2280"/>
      <c r="S19" s="2281"/>
      <c r="T19" s="2279" t="s">
        <v>84</v>
      </c>
      <c r="U19" s="2280"/>
      <c r="V19" s="2281"/>
      <c r="W19" s="2279" t="s">
        <v>84</v>
      </c>
      <c r="X19" s="2280"/>
      <c r="Y19" s="2281"/>
      <c r="Z19" s="2279" t="s">
        <v>84</v>
      </c>
      <c r="AA19" s="2280"/>
      <c r="AB19" s="2281"/>
      <c r="AC19" s="2279" t="s">
        <v>84</v>
      </c>
      <c r="AD19" s="2280"/>
      <c r="AE19" s="2281"/>
      <c r="AF19" s="2279" t="s">
        <v>84</v>
      </c>
      <c r="AG19" s="2280"/>
      <c r="AH19" s="2281"/>
      <c r="AI19" s="2279" t="s">
        <v>84</v>
      </c>
      <c r="AJ19" s="2280"/>
      <c r="AK19" s="2281"/>
      <c r="AL19" s="2279" t="s">
        <v>84</v>
      </c>
      <c r="AM19" s="2280"/>
      <c r="AN19" s="2281"/>
      <c r="AO19" s="2279" t="s">
        <v>84</v>
      </c>
      <c r="AP19" s="2280"/>
      <c r="AQ19" s="2281"/>
      <c r="AR19" s="2279" t="s">
        <v>84</v>
      </c>
      <c r="AS19" s="2280"/>
      <c r="AT19" s="2281"/>
      <c r="AU19" s="2279" t="s">
        <v>84</v>
      </c>
      <c r="AV19" s="2280"/>
      <c r="AW19" s="2281"/>
      <c r="AX19" s="2279" t="s">
        <v>84</v>
      </c>
      <c r="AY19" s="2280"/>
      <c r="AZ19" s="2281"/>
      <c r="BA19" s="2279" t="s">
        <v>84</v>
      </c>
      <c r="BB19" s="2280"/>
      <c r="BC19" s="2281"/>
      <c r="BD19" s="2279" t="s">
        <v>84</v>
      </c>
      <c r="BE19" s="2280"/>
      <c r="BF19" s="2281"/>
      <c r="BG19" s="2279" t="s">
        <v>84</v>
      </c>
      <c r="BH19" s="2280"/>
      <c r="BI19" s="2281"/>
      <c r="BJ19" s="2279" t="s">
        <v>84</v>
      </c>
      <c r="BK19" s="2280"/>
      <c r="BL19" s="2281"/>
      <c r="BM19" s="2279" t="s">
        <v>84</v>
      </c>
      <c r="BN19" s="2280"/>
      <c r="BO19" s="2281"/>
      <c r="BP19" s="2279" t="s">
        <v>84</v>
      </c>
      <c r="BQ19" s="2280"/>
      <c r="BR19" s="2281"/>
      <c r="BS19" s="2279" t="s">
        <v>84</v>
      </c>
      <c r="BT19" s="2280"/>
      <c r="BU19" s="2281"/>
      <c r="BV19" s="2279" t="s">
        <v>84</v>
      </c>
      <c r="BW19" s="2280"/>
      <c r="BX19" s="2281"/>
      <c r="BY19" s="2279" t="s">
        <v>84</v>
      </c>
      <c r="BZ19" s="2280"/>
      <c r="CA19" s="2281"/>
    </row>
    <row r="20" spans="1:88" ht="13.5" thickBot="1" x14ac:dyDescent="0.25">
      <c r="A20" s="2253"/>
      <c r="B20" s="2254"/>
      <c r="C20" s="2248"/>
      <c r="D20" s="2261" t="s">
        <v>39</v>
      </c>
      <c r="E20" s="2262"/>
      <c r="F20" s="2262"/>
      <c r="G20" s="2263"/>
      <c r="H20" s="2396">
        <v>8</v>
      </c>
      <c r="I20" s="2397"/>
      <c r="J20" s="2398"/>
      <c r="K20" s="2396">
        <v>8</v>
      </c>
      <c r="L20" s="2397"/>
      <c r="M20" s="2398"/>
      <c r="N20" s="2396">
        <v>8</v>
      </c>
      <c r="O20" s="2397"/>
      <c r="P20" s="2398"/>
      <c r="Q20" s="2396">
        <v>8</v>
      </c>
      <c r="R20" s="2397"/>
      <c r="S20" s="2398"/>
      <c r="T20" s="2396">
        <v>8</v>
      </c>
      <c r="U20" s="2397"/>
      <c r="V20" s="2398"/>
      <c r="W20" s="2396">
        <v>8</v>
      </c>
      <c r="X20" s="2397"/>
      <c r="Y20" s="2398"/>
      <c r="Z20" s="2396">
        <v>8</v>
      </c>
      <c r="AA20" s="2397"/>
      <c r="AB20" s="2398"/>
      <c r="AC20" s="2396">
        <v>8</v>
      </c>
      <c r="AD20" s="2397"/>
      <c r="AE20" s="2398"/>
      <c r="AF20" s="2396">
        <v>8</v>
      </c>
      <c r="AG20" s="2397"/>
      <c r="AH20" s="2398"/>
      <c r="AI20" s="2396">
        <v>8</v>
      </c>
      <c r="AJ20" s="2397"/>
      <c r="AK20" s="2398"/>
      <c r="AL20" s="2396">
        <v>8</v>
      </c>
      <c r="AM20" s="2397"/>
      <c r="AN20" s="2398"/>
      <c r="AO20" s="2396">
        <v>8</v>
      </c>
      <c r="AP20" s="2397"/>
      <c r="AQ20" s="2398"/>
      <c r="AR20" s="2396">
        <v>8</v>
      </c>
      <c r="AS20" s="2397"/>
      <c r="AT20" s="2398"/>
      <c r="AU20" s="2396">
        <v>8</v>
      </c>
      <c r="AV20" s="2397"/>
      <c r="AW20" s="2398"/>
      <c r="AX20" s="2396">
        <v>8</v>
      </c>
      <c r="AY20" s="2397"/>
      <c r="AZ20" s="2398"/>
      <c r="BA20" s="2396">
        <v>8</v>
      </c>
      <c r="BB20" s="2397"/>
      <c r="BC20" s="2398"/>
      <c r="BD20" s="2396">
        <v>8</v>
      </c>
      <c r="BE20" s="2397"/>
      <c r="BF20" s="2398"/>
      <c r="BG20" s="2396">
        <v>8</v>
      </c>
      <c r="BH20" s="2397"/>
      <c r="BI20" s="2398"/>
      <c r="BJ20" s="2396">
        <v>8</v>
      </c>
      <c r="BK20" s="2397"/>
      <c r="BL20" s="2398"/>
      <c r="BM20" s="2396">
        <v>8</v>
      </c>
      <c r="BN20" s="2397"/>
      <c r="BO20" s="2398"/>
      <c r="BP20" s="2396">
        <v>8</v>
      </c>
      <c r="BQ20" s="2397"/>
      <c r="BR20" s="2398"/>
      <c r="BS20" s="2396">
        <v>8</v>
      </c>
      <c r="BT20" s="2397"/>
      <c r="BU20" s="2398"/>
      <c r="BV20" s="2396">
        <v>8</v>
      </c>
      <c r="BW20" s="2397"/>
      <c r="BX20" s="2398"/>
      <c r="BY20" s="2396">
        <v>8</v>
      </c>
      <c r="BZ20" s="2397"/>
      <c r="CA20" s="2398"/>
    </row>
    <row r="21" spans="1:88" s="381" customFormat="1" x14ac:dyDescent="0.2">
      <c r="A21" s="2249" t="s">
        <v>182</v>
      </c>
      <c r="B21" s="2250"/>
      <c r="C21" s="2400"/>
      <c r="D21" s="2264" t="s">
        <v>13</v>
      </c>
      <c r="E21" s="2265"/>
      <c r="F21" s="2266"/>
      <c r="G21" s="2267"/>
      <c r="H21" s="528">
        <f>ROUND(SQRT(I21^2+J21^2)*1000/(SQRT(3)*H22),2)</f>
        <v>73.430000000000007</v>
      </c>
      <c r="I21" s="513">
        <v>4.8000000000000001E-2</v>
      </c>
      <c r="J21" s="520">
        <v>1.2E-2</v>
      </c>
      <c r="K21" s="528">
        <f>ROUND(SQRT(L21^2+M21^2)*1000/(SQRT(3)*K22),2)</f>
        <v>73.430000000000007</v>
      </c>
      <c r="L21" s="513">
        <v>4.8000000000000001E-2</v>
      </c>
      <c r="M21" s="520">
        <v>1.2E-2</v>
      </c>
      <c r="N21" s="528">
        <f>ROUND(SQRT(O21^2+P21^2)*1000/(SQRT(3)*N22),2)</f>
        <v>73.430000000000007</v>
      </c>
      <c r="O21" s="513">
        <v>4.8000000000000001E-2</v>
      </c>
      <c r="P21" s="520">
        <v>1.2E-2</v>
      </c>
      <c r="Q21" s="528">
        <f>ROUND(SQRT(R21^2+S21^2)*1000/(SQRT(3)*Q22),2)</f>
        <v>73.430000000000007</v>
      </c>
      <c r="R21" s="513">
        <v>4.8000000000000001E-2</v>
      </c>
      <c r="S21" s="520">
        <v>1.2E-2</v>
      </c>
      <c r="T21" s="528">
        <f>ROUND(SQRT(U21^2+V21^2)*1000/(SQRT(3)*T22),2)</f>
        <v>73.430000000000007</v>
      </c>
      <c r="U21" s="513">
        <v>4.8000000000000001E-2</v>
      </c>
      <c r="V21" s="520">
        <v>1.2E-2</v>
      </c>
      <c r="W21" s="528">
        <f>ROUND(SQRT(X21^2+Y21^2)*1000/(SQRT(3)*W22),2)</f>
        <v>90.82</v>
      </c>
      <c r="X21" s="513">
        <v>0.06</v>
      </c>
      <c r="Y21" s="520">
        <v>1.2E-2</v>
      </c>
      <c r="Z21" s="528">
        <f>ROUND(SQRT(AA21^2+AB21^2)*1000/(SQRT(3)*Z22),2)</f>
        <v>90.82</v>
      </c>
      <c r="AA21" s="513">
        <v>0.06</v>
      </c>
      <c r="AB21" s="520">
        <v>1.2E-2</v>
      </c>
      <c r="AC21" s="528">
        <f>ROUND(SQRT(AD21^2+AE21^2)*1000/(SQRT(3)*AC22),2)</f>
        <v>73.430000000000007</v>
      </c>
      <c r="AD21" s="513">
        <v>4.8000000000000001E-2</v>
      </c>
      <c r="AE21" s="520">
        <v>1.2E-2</v>
      </c>
      <c r="AF21" s="528">
        <f>ROUND(SQRT(AG21^2+AH21^2)*1000/(SQRT(3)*AF22),2)</f>
        <v>56.32</v>
      </c>
      <c r="AG21" s="513">
        <v>3.5999999999999997E-2</v>
      </c>
      <c r="AH21" s="520">
        <v>1.2E-2</v>
      </c>
      <c r="AI21" s="528">
        <f>ROUND(SQRT(AJ21^2+AK21^2)*1000/(SQRT(3)*AI22),2)</f>
        <v>185.94</v>
      </c>
      <c r="AJ21" s="513">
        <v>3.5999999999999997E-2</v>
      </c>
      <c r="AK21" s="520">
        <v>0.12</v>
      </c>
      <c r="AL21" s="528">
        <f>ROUND(SQRT(AM21^2+AN21^2)*1000/(SQRT(3)*AL22),2)</f>
        <v>56.32</v>
      </c>
      <c r="AM21" s="513">
        <v>3.5999999999999997E-2</v>
      </c>
      <c r="AN21" s="520">
        <v>1.2E-2</v>
      </c>
      <c r="AO21" s="528">
        <f>ROUND(SQRT(AP21^2+AQ21^2)*1000/(SQRT(3)*AO22),2)</f>
        <v>73.430000000000007</v>
      </c>
      <c r="AP21" s="513">
        <v>4.8000000000000001E-2</v>
      </c>
      <c r="AQ21" s="520">
        <v>1.2E-2</v>
      </c>
      <c r="AR21" s="528">
        <f>ROUND(SQRT(AS21^2+AT21^2)*1000/(SQRT(3)*AR22),2)</f>
        <v>56.32</v>
      </c>
      <c r="AS21" s="513">
        <v>3.5999999999999997E-2</v>
      </c>
      <c r="AT21" s="520">
        <v>1.2E-2</v>
      </c>
      <c r="AU21" s="528">
        <f>ROUND(SQRT(AV21^2+AW21^2)*1000/(SQRT(3)*AU22),2)</f>
        <v>56.32</v>
      </c>
      <c r="AV21" s="513">
        <v>3.5999999999999997E-2</v>
      </c>
      <c r="AW21" s="520">
        <v>1.2E-2</v>
      </c>
      <c r="AX21" s="528">
        <f>ROUND(SQRT(AY21^2+AZ21^2)*1000/(SQRT(3)*AX22),2)</f>
        <v>56.32</v>
      </c>
      <c r="AY21" s="513">
        <v>3.5999999999999997E-2</v>
      </c>
      <c r="AZ21" s="520">
        <v>1.2E-2</v>
      </c>
      <c r="BA21" s="528">
        <f>ROUND(SQRT(BB21^2+BC21^2)*1000/(SQRT(3)*BA22),2)</f>
        <v>56.32</v>
      </c>
      <c r="BB21" s="513">
        <v>3.5999999999999997E-2</v>
      </c>
      <c r="BC21" s="520">
        <v>1.2E-2</v>
      </c>
      <c r="BD21" s="528">
        <f>ROUND(SQRT(BE21^2+BF21^2)*1000/(SQRT(3)*BD22),2)</f>
        <v>56.32</v>
      </c>
      <c r="BE21" s="513">
        <v>3.5999999999999997E-2</v>
      </c>
      <c r="BF21" s="520">
        <v>1.2E-2</v>
      </c>
      <c r="BG21" s="528">
        <f>ROUND(SQRT(BH21^2+BI21^2)*1000/(SQRT(3)*BG22),2)</f>
        <v>56.32</v>
      </c>
      <c r="BH21" s="513">
        <v>3.5999999999999997E-2</v>
      </c>
      <c r="BI21" s="520">
        <v>1.2E-2</v>
      </c>
      <c r="BJ21" s="528">
        <f>ROUND(SQRT(BK21^2+BL21^2)*1000/(SQRT(3)*BJ22),2)</f>
        <v>39.83</v>
      </c>
      <c r="BK21" s="513">
        <v>2.4E-2</v>
      </c>
      <c r="BL21" s="520">
        <v>1.2E-2</v>
      </c>
      <c r="BM21" s="528">
        <f>ROUND(SQRT(BN21^2+BO21^2)*1000/(SQRT(3)*BM22),2)</f>
        <v>73.430000000000007</v>
      </c>
      <c r="BN21" s="513">
        <v>4.8000000000000001E-2</v>
      </c>
      <c r="BO21" s="520">
        <v>1.2E-2</v>
      </c>
      <c r="BP21" s="528">
        <f>ROUND(SQRT(BQ21^2+BR21^2)*1000/(SQRT(3)*BP22),2)</f>
        <v>39.83</v>
      </c>
      <c r="BQ21" s="513">
        <v>2.4E-2</v>
      </c>
      <c r="BR21" s="520">
        <v>1.2E-2</v>
      </c>
      <c r="BS21" s="528">
        <f>ROUND(SQRT(BT21^2+BU21^2)*1000/(SQRT(3)*BS22),2)</f>
        <v>56.32</v>
      </c>
      <c r="BT21" s="513">
        <v>3.5999999999999997E-2</v>
      </c>
      <c r="BU21" s="520">
        <v>1.2E-2</v>
      </c>
      <c r="BV21" s="528">
        <f>ROUND(SQRT(BW21^2+BX21^2)*1000/(SQRT(3)*BV22),2)</f>
        <v>56.32</v>
      </c>
      <c r="BW21" s="513">
        <v>3.5999999999999997E-2</v>
      </c>
      <c r="BX21" s="520">
        <v>1.2E-2</v>
      </c>
      <c r="BY21" s="528">
        <f>ROUND(SQRT(BZ21^2+CA21^2)*1000/(SQRT(3)*BY22),2)</f>
        <v>56.32</v>
      </c>
      <c r="BZ21" s="513">
        <v>3.5999999999999997E-2</v>
      </c>
      <c r="CA21" s="520">
        <v>1.2E-2</v>
      </c>
      <c r="CB21" s="515">
        <f>SUM(BZ21,BW21,BT21,BQ21,BN21,BK21,BH21,BE21,BB21,AY21,AV21,AS21,AP21,AM21,AJ21,AG21,AD21,AA21,X21,U21,R21,O21,L21,I21)</f>
        <v>0.98400000000000021</v>
      </c>
      <c r="CC21" s="515">
        <f>SUM(CA21,BX21,BU21,BR21,BO21,BL21,BI21,BF21,BC21,AZ21,AW21,AT21,AQ21,AN21,AK21,AH21,AE21,AB21,Y21,V21,S21,P21,M21,J21)</f>
        <v>0.39600000000000013</v>
      </c>
      <c r="CE21" s="529"/>
      <c r="CF21" s="530"/>
      <c r="CG21" s="530"/>
      <c r="CJ21" s="531"/>
    </row>
    <row r="22" spans="1:88" s="381" customFormat="1" ht="13.5" thickBot="1" x14ac:dyDescent="0.25">
      <c r="A22" s="2253"/>
      <c r="B22" s="2254"/>
      <c r="C22" s="2401"/>
      <c r="D22" s="2270" t="s">
        <v>14</v>
      </c>
      <c r="E22" s="2271"/>
      <c r="F22" s="2268"/>
      <c r="G22" s="2269"/>
      <c r="H22" s="2402">
        <v>0.38900000000000001</v>
      </c>
      <c r="I22" s="2403"/>
      <c r="J22" s="2404"/>
      <c r="K22" s="2402">
        <v>0.38900000000000001</v>
      </c>
      <c r="L22" s="2403"/>
      <c r="M22" s="2404"/>
      <c r="N22" s="2402">
        <v>0.38900000000000001</v>
      </c>
      <c r="O22" s="2403"/>
      <c r="P22" s="2404"/>
      <c r="Q22" s="2402">
        <v>0.38900000000000001</v>
      </c>
      <c r="R22" s="2403"/>
      <c r="S22" s="2404"/>
      <c r="T22" s="2402">
        <v>0.38900000000000001</v>
      </c>
      <c r="U22" s="2403"/>
      <c r="V22" s="2404"/>
      <c r="W22" s="2402">
        <v>0.38900000000000001</v>
      </c>
      <c r="X22" s="2403"/>
      <c r="Y22" s="2404"/>
      <c r="Z22" s="2402">
        <v>0.38900000000000001</v>
      </c>
      <c r="AA22" s="2403"/>
      <c r="AB22" s="2404"/>
      <c r="AC22" s="2402">
        <v>0.38900000000000001</v>
      </c>
      <c r="AD22" s="2403"/>
      <c r="AE22" s="2404"/>
      <c r="AF22" s="2402">
        <v>0.38900000000000001</v>
      </c>
      <c r="AG22" s="2403"/>
      <c r="AH22" s="2404"/>
      <c r="AI22" s="2402">
        <v>0.38900000000000001</v>
      </c>
      <c r="AJ22" s="2403"/>
      <c r="AK22" s="2404"/>
      <c r="AL22" s="2402">
        <v>0.38900000000000001</v>
      </c>
      <c r="AM22" s="2403"/>
      <c r="AN22" s="2404"/>
      <c r="AO22" s="2402">
        <v>0.38900000000000001</v>
      </c>
      <c r="AP22" s="2403"/>
      <c r="AQ22" s="2404"/>
      <c r="AR22" s="2402">
        <v>0.38900000000000001</v>
      </c>
      <c r="AS22" s="2403"/>
      <c r="AT22" s="2404"/>
      <c r="AU22" s="2402">
        <v>0.38900000000000001</v>
      </c>
      <c r="AV22" s="2403"/>
      <c r="AW22" s="2404"/>
      <c r="AX22" s="2402">
        <v>0.38900000000000001</v>
      </c>
      <c r="AY22" s="2403"/>
      <c r="AZ22" s="2404"/>
      <c r="BA22" s="2402">
        <v>0.38900000000000001</v>
      </c>
      <c r="BB22" s="2403"/>
      <c r="BC22" s="2404"/>
      <c r="BD22" s="2402">
        <v>0.38900000000000001</v>
      </c>
      <c r="BE22" s="2403"/>
      <c r="BF22" s="2404"/>
      <c r="BG22" s="2402">
        <v>0.38900000000000001</v>
      </c>
      <c r="BH22" s="2403"/>
      <c r="BI22" s="2404"/>
      <c r="BJ22" s="2402">
        <v>0.38900000000000001</v>
      </c>
      <c r="BK22" s="2403"/>
      <c r="BL22" s="2404"/>
      <c r="BM22" s="2402">
        <v>0.38900000000000001</v>
      </c>
      <c r="BN22" s="2403"/>
      <c r="BO22" s="2404"/>
      <c r="BP22" s="2402">
        <v>0.38900000000000001</v>
      </c>
      <c r="BQ22" s="2403"/>
      <c r="BR22" s="2404"/>
      <c r="BS22" s="2402">
        <v>0.38900000000000001</v>
      </c>
      <c r="BT22" s="2403"/>
      <c r="BU22" s="2404"/>
      <c r="BV22" s="2402">
        <v>0.38900000000000001</v>
      </c>
      <c r="BW22" s="2403"/>
      <c r="BX22" s="2404"/>
      <c r="BY22" s="2402">
        <v>0.38900000000000001</v>
      </c>
      <c r="BZ22" s="2403"/>
      <c r="CA22" s="2404"/>
      <c r="CB22" s="2402">
        <v>0</v>
      </c>
      <c r="CC22" s="2403"/>
      <c r="CD22" s="2404"/>
    </row>
    <row r="23" spans="1:88" s="381" customFormat="1" x14ac:dyDescent="0.2">
      <c r="A23" s="2249" t="s">
        <v>183</v>
      </c>
      <c r="B23" s="2250"/>
      <c r="C23" s="2400"/>
      <c r="D23" s="2264" t="s">
        <v>13</v>
      </c>
      <c r="E23" s="2265"/>
      <c r="F23" s="2266"/>
      <c r="G23" s="2267"/>
      <c r="H23" s="528">
        <f>ROUND(SQRT(I23^2+J23^2)*1000/(SQRT(3)*H24),2)</f>
        <v>181.63</v>
      </c>
      <c r="I23" s="513">
        <v>2.4E-2</v>
      </c>
      <c r="J23" s="520">
        <v>0.12</v>
      </c>
      <c r="K23" s="528">
        <f>ROUND(SQRT(L23^2+M23^2)*1000/(SQRT(3)*K24),2)</f>
        <v>181.63</v>
      </c>
      <c r="L23" s="513">
        <v>2.4E-2</v>
      </c>
      <c r="M23" s="520">
        <v>0.12</v>
      </c>
      <c r="N23" s="528">
        <f>ROUND(SQRT(O23^2+P23^2)*1000/(SQRT(3)*N24),2)</f>
        <v>185.94</v>
      </c>
      <c r="O23" s="513">
        <v>3.5999999999999997E-2</v>
      </c>
      <c r="P23" s="520">
        <v>0.12</v>
      </c>
      <c r="Q23" s="528">
        <f>ROUND(SQRT(R23^2+S23^2)*1000/(SQRT(3)*Q24),2)</f>
        <v>185.94</v>
      </c>
      <c r="R23" s="513">
        <v>3.5999999999999997E-2</v>
      </c>
      <c r="S23" s="520">
        <v>0.12</v>
      </c>
      <c r="T23" s="528">
        <f>ROUND(SQRT(U23^2+V23^2)*1000/(SQRT(3)*T24),2)</f>
        <v>181.63</v>
      </c>
      <c r="U23" s="513">
        <v>2.4E-2</v>
      </c>
      <c r="V23" s="520">
        <v>0.12</v>
      </c>
      <c r="W23" s="528">
        <f>ROUND(SQRT(X23^2+Y23^2)*1000/(SQRT(3)*W24),2)</f>
        <v>185.94</v>
      </c>
      <c r="X23" s="513">
        <v>3.5999999999999997E-2</v>
      </c>
      <c r="Y23" s="520">
        <v>0.12</v>
      </c>
      <c r="Z23" s="528">
        <f>ROUND(SQRT(AA23^2+AB23^2)*1000/(SQRT(3)*Z24),2)</f>
        <v>191.82</v>
      </c>
      <c r="AA23" s="513">
        <v>4.8000000000000001E-2</v>
      </c>
      <c r="AB23" s="520">
        <v>0.12</v>
      </c>
      <c r="AC23" s="528">
        <f>ROUND(SQRT(AD23^2+AE23^2)*1000/(SQRT(3)*AC24),2)</f>
        <v>185.94</v>
      </c>
      <c r="AD23" s="513">
        <v>3.5999999999999997E-2</v>
      </c>
      <c r="AE23" s="520">
        <v>0.12</v>
      </c>
      <c r="AF23" s="528">
        <f>ROUND(SQRT(AG23^2+AH23^2)*1000/(SQRT(3)*AF24),2)</f>
        <v>181.63</v>
      </c>
      <c r="AG23" s="513">
        <v>2.4E-2</v>
      </c>
      <c r="AH23" s="520">
        <v>0.12</v>
      </c>
      <c r="AI23" s="528">
        <f>ROUND(SQRT(AJ23^2+AK23^2)*1000/(SQRT(3)*AI24),2)</f>
        <v>185.94</v>
      </c>
      <c r="AJ23" s="513">
        <v>3.5999999999999997E-2</v>
      </c>
      <c r="AK23" s="520">
        <v>0.12</v>
      </c>
      <c r="AL23" s="528">
        <f>ROUND(SQRT(AM23^2+AN23^2)*1000/(SQRT(3)*AL24),2)</f>
        <v>181.63</v>
      </c>
      <c r="AM23" s="513">
        <v>2.4E-2</v>
      </c>
      <c r="AN23" s="520">
        <v>0.12</v>
      </c>
      <c r="AO23" s="528">
        <f>ROUND(SQRT(AP23^2+AQ23^2)*1000/(SQRT(3)*AO24),2)</f>
        <v>185.94</v>
      </c>
      <c r="AP23" s="513">
        <v>3.5999999999999997E-2</v>
      </c>
      <c r="AQ23" s="520">
        <v>0.12</v>
      </c>
      <c r="AR23" s="528">
        <f>ROUND(SQRT(AS23^2+AT23^2)*1000/(SQRT(3)*AR24),2)</f>
        <v>181.63</v>
      </c>
      <c r="AS23" s="513">
        <v>2.4E-2</v>
      </c>
      <c r="AT23" s="520">
        <v>0.12</v>
      </c>
      <c r="AU23" s="528">
        <f>ROUND(SQRT(AV23^2+AW23^2)*1000/(SQRT(3)*AU24),2)</f>
        <v>181.63</v>
      </c>
      <c r="AV23" s="513">
        <v>2.4E-2</v>
      </c>
      <c r="AW23" s="520">
        <v>0.12</v>
      </c>
      <c r="AX23" s="528">
        <f>ROUND(SQRT(AY23^2+AZ23^2)*1000/(SQRT(3)*AX24),2)</f>
        <v>181.63</v>
      </c>
      <c r="AY23" s="513">
        <v>2.4E-2</v>
      </c>
      <c r="AZ23" s="520">
        <v>0.12</v>
      </c>
      <c r="BA23" s="528">
        <f>ROUND(SQRT(BB23^2+BC23^2)*1000/(SQRT(3)*BA24),2)</f>
        <v>185.94</v>
      </c>
      <c r="BB23" s="513">
        <v>3.5999999999999997E-2</v>
      </c>
      <c r="BC23" s="520">
        <v>0.12</v>
      </c>
      <c r="BD23" s="528">
        <f>ROUND(SQRT(BE23^2+BF23^2)*1000/(SQRT(3)*BD24),2)</f>
        <v>181.63</v>
      </c>
      <c r="BE23" s="513">
        <v>2.4E-2</v>
      </c>
      <c r="BF23" s="520">
        <v>0.12</v>
      </c>
      <c r="BG23" s="528">
        <f>ROUND(SQRT(BH23^2+BI23^2)*1000/(SQRT(3)*BG24),2)</f>
        <v>181.63</v>
      </c>
      <c r="BH23" s="513">
        <v>2.4E-2</v>
      </c>
      <c r="BI23" s="520">
        <v>0.12</v>
      </c>
      <c r="BJ23" s="528">
        <f>ROUND(SQRT(BK23^2+BL23^2)*1000/(SQRT(3)*BJ24),2)</f>
        <v>185.94</v>
      </c>
      <c r="BK23" s="513">
        <v>3.5999999999999997E-2</v>
      </c>
      <c r="BL23" s="520">
        <v>0.12</v>
      </c>
      <c r="BM23" s="528">
        <f>ROUND(SQRT(BN23^2+BO23^2)*1000/(SQRT(3)*BM24),2)</f>
        <v>181.63</v>
      </c>
      <c r="BN23" s="513">
        <v>2.4E-2</v>
      </c>
      <c r="BO23" s="520">
        <v>0.12</v>
      </c>
      <c r="BP23" s="528">
        <f>ROUND(SQRT(BQ23^2+BR23^2)*1000/(SQRT(3)*BP24),2)</f>
        <v>185.94</v>
      </c>
      <c r="BQ23" s="513">
        <v>3.5999999999999997E-2</v>
      </c>
      <c r="BR23" s="520">
        <v>0.12</v>
      </c>
      <c r="BS23" s="528">
        <f>ROUND(SQRT(BT23^2+BU23^2)*1000/(SQRT(3)*BS24),2)</f>
        <v>181.63</v>
      </c>
      <c r="BT23" s="513">
        <v>2.4E-2</v>
      </c>
      <c r="BU23" s="520">
        <v>0.12</v>
      </c>
      <c r="BV23" s="528">
        <f>ROUND(SQRT(BW23^2+BX23^2)*1000/(SQRT(3)*BV24),2)</f>
        <v>181.63</v>
      </c>
      <c r="BW23" s="513">
        <v>2.4E-2</v>
      </c>
      <c r="BX23" s="520">
        <v>0.12</v>
      </c>
      <c r="BY23" s="528">
        <f>ROUND(SQRT(BZ23^2+CA23^2)*1000/(SQRT(3)*BY24),2)</f>
        <v>398.25</v>
      </c>
      <c r="BZ23" s="513">
        <v>0.24</v>
      </c>
      <c r="CA23" s="520">
        <v>0.12</v>
      </c>
      <c r="CB23" s="515">
        <f>SUM(BZ23,BW23,BT23,BQ23,BN23,BK23,BH23,BE23,BB23,AY23,AV23,AS23,AP23,AM23,AJ23,AG23,AD23,AA23,X23,U23,R23,O23,L23,I23)</f>
        <v>0.92400000000000038</v>
      </c>
      <c r="CC23" s="515">
        <f>SUM(CA23,BX23,BU23,BR23,BO23,BL23,BI23,BF23,BC23,AZ23,AW23,AT23,AQ23,AN23,AK23,AH23,AE23,AB23,Y23,V23,S23,P23,M23,J23)</f>
        <v>2.8800000000000017</v>
      </c>
      <c r="CE23" s="529"/>
      <c r="CF23" s="530"/>
      <c r="CG23" s="530"/>
      <c r="CJ23" s="531"/>
    </row>
    <row r="24" spans="1:88" s="381" customFormat="1" ht="13.5" thickBot="1" x14ac:dyDescent="0.25">
      <c r="A24" s="2253"/>
      <c r="B24" s="2254"/>
      <c r="C24" s="2401"/>
      <c r="D24" s="2270" t="s">
        <v>14</v>
      </c>
      <c r="E24" s="2271"/>
      <c r="F24" s="2268"/>
      <c r="G24" s="2269"/>
      <c r="H24" s="2402">
        <v>0.38900000000000001</v>
      </c>
      <c r="I24" s="2403"/>
      <c r="J24" s="2404"/>
      <c r="K24" s="2402">
        <v>0.38900000000000001</v>
      </c>
      <c r="L24" s="2403"/>
      <c r="M24" s="2404"/>
      <c r="N24" s="2402">
        <v>0.38900000000000001</v>
      </c>
      <c r="O24" s="2403"/>
      <c r="P24" s="2404"/>
      <c r="Q24" s="2402">
        <v>0.38900000000000001</v>
      </c>
      <c r="R24" s="2403"/>
      <c r="S24" s="2404"/>
      <c r="T24" s="2402">
        <v>0.38900000000000001</v>
      </c>
      <c r="U24" s="2403"/>
      <c r="V24" s="2404"/>
      <c r="W24" s="2402">
        <v>0.38900000000000001</v>
      </c>
      <c r="X24" s="2403"/>
      <c r="Y24" s="2404"/>
      <c r="Z24" s="2402">
        <v>0.38900000000000001</v>
      </c>
      <c r="AA24" s="2403"/>
      <c r="AB24" s="2404"/>
      <c r="AC24" s="2402">
        <v>0.38900000000000001</v>
      </c>
      <c r="AD24" s="2403"/>
      <c r="AE24" s="2404"/>
      <c r="AF24" s="2402">
        <v>0.38900000000000001</v>
      </c>
      <c r="AG24" s="2403"/>
      <c r="AH24" s="2404"/>
      <c r="AI24" s="2402">
        <v>0.38900000000000001</v>
      </c>
      <c r="AJ24" s="2403"/>
      <c r="AK24" s="2404"/>
      <c r="AL24" s="2402">
        <v>0.38900000000000001</v>
      </c>
      <c r="AM24" s="2403"/>
      <c r="AN24" s="2404"/>
      <c r="AO24" s="2402">
        <v>0.38900000000000001</v>
      </c>
      <c r="AP24" s="2403"/>
      <c r="AQ24" s="2404"/>
      <c r="AR24" s="2402">
        <v>0.38900000000000001</v>
      </c>
      <c r="AS24" s="2403"/>
      <c r="AT24" s="2404"/>
      <c r="AU24" s="2402">
        <v>0.38900000000000001</v>
      </c>
      <c r="AV24" s="2403"/>
      <c r="AW24" s="2404"/>
      <c r="AX24" s="2402">
        <v>0.38900000000000001</v>
      </c>
      <c r="AY24" s="2403"/>
      <c r="AZ24" s="2404"/>
      <c r="BA24" s="2402">
        <v>0.38900000000000001</v>
      </c>
      <c r="BB24" s="2403"/>
      <c r="BC24" s="2404"/>
      <c r="BD24" s="2402">
        <v>0.38900000000000001</v>
      </c>
      <c r="BE24" s="2403"/>
      <c r="BF24" s="2404"/>
      <c r="BG24" s="2402">
        <v>0.38900000000000001</v>
      </c>
      <c r="BH24" s="2403"/>
      <c r="BI24" s="2404"/>
      <c r="BJ24" s="2402">
        <v>0.38900000000000001</v>
      </c>
      <c r="BK24" s="2403"/>
      <c r="BL24" s="2404"/>
      <c r="BM24" s="2402">
        <v>0.38900000000000001</v>
      </c>
      <c r="BN24" s="2403"/>
      <c r="BO24" s="2404"/>
      <c r="BP24" s="2402">
        <v>0.38900000000000001</v>
      </c>
      <c r="BQ24" s="2403"/>
      <c r="BR24" s="2404"/>
      <c r="BS24" s="2402">
        <v>0.38900000000000001</v>
      </c>
      <c r="BT24" s="2403"/>
      <c r="BU24" s="2404"/>
      <c r="BV24" s="2402">
        <v>0.38900000000000001</v>
      </c>
      <c r="BW24" s="2403"/>
      <c r="BX24" s="2404"/>
      <c r="BY24" s="2402">
        <v>0.38900000000000001</v>
      </c>
      <c r="BZ24" s="2403"/>
      <c r="CA24" s="2404"/>
    </row>
    <row r="25" spans="1:88" x14ac:dyDescent="0.2">
      <c r="A25" s="2316" t="s">
        <v>35</v>
      </c>
      <c r="B25" s="2272"/>
      <c r="C25" s="2273"/>
      <c r="D25" s="2276" t="s">
        <v>33</v>
      </c>
      <c r="E25" s="2277"/>
      <c r="F25" s="2277"/>
      <c r="G25" s="2277"/>
      <c r="H25" s="528">
        <f>H7</f>
        <v>11.21</v>
      </c>
      <c r="I25" s="532">
        <f>I7+I14</f>
        <v>3.9137740454468473</v>
      </c>
      <c r="J25" s="533">
        <f>J7+J14</f>
        <v>2.108290080923231</v>
      </c>
      <c r="K25" s="528">
        <f>K7</f>
        <v>10.7</v>
      </c>
      <c r="L25" s="532">
        <f>L7+L14</f>
        <v>3.7179103163642022</v>
      </c>
      <c r="M25" s="533">
        <f>M7+M14</f>
        <v>2.0051594762452618</v>
      </c>
      <c r="N25" s="528">
        <f>N7</f>
        <v>10.24</v>
      </c>
      <c r="O25" s="532">
        <f>O7+O14</f>
        <v>3.5393608017774256</v>
      </c>
      <c r="P25" s="533">
        <f>P7+P14</f>
        <v>1.9110282206046916</v>
      </c>
      <c r="Q25" s="528">
        <f>Q7</f>
        <v>9.8800000000000008</v>
      </c>
      <c r="R25" s="532">
        <f>R7+R14</f>
        <v>3.4086602681410616</v>
      </c>
      <c r="S25" s="533">
        <f>S7+S14</f>
        <v>1.8420562342188278</v>
      </c>
      <c r="T25" s="528">
        <f>T7</f>
        <v>9.73</v>
      </c>
      <c r="U25" s="532">
        <f>U7+U14</f>
        <v>3.3476471587195746</v>
      </c>
      <c r="V25" s="533">
        <f>V7+V14</f>
        <v>1.8098351348875181</v>
      </c>
      <c r="W25" s="528">
        <f>W7</f>
        <v>9.7100000000000009</v>
      </c>
      <c r="X25" s="532">
        <f>X7+X14</f>
        <v>3.3389305532815579</v>
      </c>
      <c r="Y25" s="533">
        <f>Y7+Y14</f>
        <v>1.8052313385361742</v>
      </c>
      <c r="Z25" s="528">
        <f>Z7</f>
        <v>9.7100000000000009</v>
      </c>
      <c r="AA25" s="532">
        <f>AA7+AA14</f>
        <v>3.3432903663807316</v>
      </c>
      <c r="AB25" s="533">
        <f>AB7+AB14</f>
        <v>1.8075358798771355</v>
      </c>
      <c r="AC25" s="528">
        <f>AC7</f>
        <v>9.9</v>
      </c>
      <c r="AD25" s="532">
        <f>AD7+AD14</f>
        <v>3.417375147430318</v>
      </c>
      <c r="AE25" s="533">
        <f>AE7+AE14</f>
        <v>1.8466570098098412</v>
      </c>
      <c r="AF25" s="528">
        <f>AF7</f>
        <v>10.8</v>
      </c>
      <c r="AG25" s="532">
        <f>AG7+AG14</f>
        <v>3.770154928000566</v>
      </c>
      <c r="AH25" s="533">
        <f>AH7+AH14</f>
        <v>2.0326859676177893</v>
      </c>
      <c r="AI25" s="528">
        <f>AI7</f>
        <v>11.77</v>
      </c>
      <c r="AJ25" s="532">
        <f>AJ7+AJ14</f>
        <v>4.16171548915759</v>
      </c>
      <c r="AK25" s="533">
        <f>AK7+AK14</f>
        <v>2.2386551072092651</v>
      </c>
      <c r="AL25" s="528">
        <f>AL7</f>
        <v>12.74</v>
      </c>
      <c r="AM25" s="532">
        <f>AM7+AM14</f>
        <v>4.4789828368022189</v>
      </c>
      <c r="AN25" s="533">
        <f>AN7+AN14</f>
        <v>2.4051383600581175</v>
      </c>
      <c r="AO25" s="528">
        <f>AO7</f>
        <v>13.25</v>
      </c>
      <c r="AP25" s="532">
        <f>AP7+AP14</f>
        <v>4.6092710366534586</v>
      </c>
      <c r="AQ25" s="533">
        <f>AQ7+AQ14</f>
        <v>2.473388762320015</v>
      </c>
      <c r="AR25" s="528">
        <f>AR7</f>
        <v>13.51</v>
      </c>
      <c r="AS25" s="532">
        <f>AS7+AS14</f>
        <v>4.7091381800997389</v>
      </c>
      <c r="AT25" s="533">
        <f>AT7+AT14</f>
        <v>2.5256782369513804</v>
      </c>
      <c r="AU25" s="528">
        <f>AU7</f>
        <v>13.58</v>
      </c>
      <c r="AV25" s="532">
        <f>AV7+AV14</f>
        <v>4.7395278421741196</v>
      </c>
      <c r="AW25" s="533">
        <f>AW7+AW14</f>
        <v>2.5415842245033993</v>
      </c>
      <c r="AX25" s="528">
        <f>AX7</f>
        <v>13.68</v>
      </c>
      <c r="AY25" s="532">
        <f>AY7+AY14</f>
        <v>4.7699120021493258</v>
      </c>
      <c r="AZ25" s="533">
        <f>AZ7+AZ14</f>
        <v>2.5574805833818637</v>
      </c>
      <c r="BA25" s="528">
        <f>BA7</f>
        <v>13.27</v>
      </c>
      <c r="BB25" s="532">
        <f>BB7+BB14</f>
        <v>4.6396748315708143</v>
      </c>
      <c r="BC25" s="533">
        <f>BC7+BC14</f>
        <v>2.48931948234724</v>
      </c>
      <c r="BD25" s="528">
        <f>BD7</f>
        <v>12.88</v>
      </c>
      <c r="BE25" s="532">
        <f>BE7+BE14</f>
        <v>4.4789685960749459</v>
      </c>
      <c r="BF25" s="533">
        <f>BF7+BF14</f>
        <v>2.4051134387853903</v>
      </c>
      <c r="BG25" s="528">
        <f>BG7</f>
        <v>12.86</v>
      </c>
      <c r="BH25" s="532">
        <f>BH7+BH14</f>
        <v>4.4920079024137891</v>
      </c>
      <c r="BI25" s="533">
        <f>BI7+BI14</f>
        <v>2.4119568301305883</v>
      </c>
      <c r="BJ25" s="528">
        <f>BJ7</f>
        <v>13</v>
      </c>
      <c r="BK25" s="532">
        <f>BK7+BK14</f>
        <v>4.5571662430666819</v>
      </c>
      <c r="BL25" s="533">
        <f>BL7+BL14</f>
        <v>2.4461069525342642</v>
      </c>
      <c r="BM25" s="528">
        <f>BM7</f>
        <v>12.95</v>
      </c>
      <c r="BN25" s="532">
        <f>BN7+BN14</f>
        <v>4.539792800091476</v>
      </c>
      <c r="BO25" s="533">
        <f>BO7+BO14</f>
        <v>2.4370039536580226</v>
      </c>
      <c r="BP25" s="528">
        <f>BP7</f>
        <v>12.74</v>
      </c>
      <c r="BQ25" s="532">
        <f>BQ7+BQ14</f>
        <v>4.4789828368022189</v>
      </c>
      <c r="BR25" s="533">
        <f>BR7+BR14</f>
        <v>2.4051383600581175</v>
      </c>
      <c r="BS25" s="528">
        <f>BS7</f>
        <v>12.57</v>
      </c>
      <c r="BT25" s="532">
        <f>BT7+BT14</f>
        <v>4.4268498854137892</v>
      </c>
      <c r="BU25" s="533">
        <f>BU7+BU14</f>
        <v>2.3778072741194749</v>
      </c>
      <c r="BV25" s="528">
        <f>BV7</f>
        <v>12.45</v>
      </c>
      <c r="BW25" s="532">
        <f>BW7+BW14</f>
        <v>4.3833984770666818</v>
      </c>
      <c r="BX25" s="533">
        <f>BX7+BX14</f>
        <v>2.3550186253379612</v>
      </c>
      <c r="BY25" s="528">
        <f>BY7</f>
        <v>12.2</v>
      </c>
      <c r="BZ25" s="532">
        <f>BZ7+BZ14</f>
        <v>4.2877847728022189</v>
      </c>
      <c r="CA25" s="533">
        <f>CA7+CA14</f>
        <v>2.3048475376921838</v>
      </c>
    </row>
    <row r="26" spans="1:88" ht="13.5" thickBot="1" x14ac:dyDescent="0.25">
      <c r="A26" s="2319"/>
      <c r="B26" s="2274"/>
      <c r="C26" s="2275"/>
      <c r="D26" s="2279" t="s">
        <v>41</v>
      </c>
      <c r="E26" s="2280"/>
      <c r="F26" s="2280"/>
      <c r="G26" s="2280"/>
      <c r="H26" s="534">
        <f>H8</f>
        <v>211.9</v>
      </c>
      <c r="I26" s="535">
        <f>I8+I15+I21+I23</f>
        <v>3.954583177103097</v>
      </c>
      <c r="J26" s="536">
        <f>J8+J15+J21+J23</f>
        <v>2.1607414766354718</v>
      </c>
      <c r="K26" s="534">
        <f>K8</f>
        <v>202.27</v>
      </c>
      <c r="L26" s="535">
        <f>L8+L15+L21+L23</f>
        <v>3.759073948208929</v>
      </c>
      <c r="M26" s="536">
        <f>M8+M15+M21+M23</f>
        <v>2.0637369610200027</v>
      </c>
      <c r="N26" s="534">
        <f>N8</f>
        <v>193.54</v>
      </c>
      <c r="O26" s="535">
        <f>O8+O15+O21+O23</f>
        <v>3.5928315071250823</v>
      </c>
      <c r="P26" s="536">
        <f>P8+P15+P21+P23</f>
        <v>1.9749122600669322</v>
      </c>
      <c r="Q26" s="534">
        <f>Q8</f>
        <v>186.64</v>
      </c>
      <c r="R26" s="535">
        <f>R8+R15+R21+R23</f>
        <v>3.4623466870238744</v>
      </c>
      <c r="S26" s="536">
        <f>S8+S15+S21+S23</f>
        <v>1.9096666955560684</v>
      </c>
      <c r="T26" s="534">
        <f>T8</f>
        <v>183.88</v>
      </c>
      <c r="U26" s="535">
        <f>U8+U15+U21+U23</f>
        <v>3.3894309378836369</v>
      </c>
      <c r="V26" s="536">
        <f>V8+V15+V21+V23</f>
        <v>1.879128596224759</v>
      </c>
      <c r="W26" s="534">
        <f>W8</f>
        <v>183.42</v>
      </c>
      <c r="X26" s="535">
        <f>X8+X15+X21+X23</f>
        <v>3.4047281763284332</v>
      </c>
      <c r="Y26" s="536">
        <f>Y8+Y15+Y21+Y23</f>
        <v>1.874763946748415</v>
      </c>
      <c r="Z26" s="534">
        <f>Z8</f>
        <v>183.42</v>
      </c>
      <c r="AA26" s="535">
        <f>AA8+AA15+AA21+AA23</f>
        <v>3.4210813506336613</v>
      </c>
      <c r="AB26" s="536">
        <f>AB8+AB15+AB21+AB23</f>
        <v>1.8769532459018765</v>
      </c>
      <c r="AC26" s="534">
        <f>AC8</f>
        <v>187.1</v>
      </c>
      <c r="AD26" s="535">
        <f>AD8+AD15+AD21+AD23</f>
        <v>3.4710474360982868</v>
      </c>
      <c r="AE26" s="536">
        <f>AE8+AE15+AE21+AE23</f>
        <v>1.914023374272082</v>
      </c>
      <c r="AF26" s="534">
        <f>AF8</f>
        <v>204.1</v>
      </c>
      <c r="AG26" s="535">
        <f>AG8+AG15+AG21+AG23</f>
        <v>3.7992265131812304</v>
      </c>
      <c r="AH26" s="536">
        <f>AH8+AH15+AH21+AH23</f>
        <v>2.08967078989253</v>
      </c>
      <c r="AI26" s="534">
        <f>AI8</f>
        <v>222.43</v>
      </c>
      <c r="AJ26" s="535">
        <f>AJ8+AJ15+AJ21+AJ23</f>
        <v>4.2020505638890349</v>
      </c>
      <c r="AK26" s="536">
        <f>AK8+AK15+AK21+AK23</f>
        <v>2.3909091482340061</v>
      </c>
      <c r="AL26" s="534">
        <f>AL8</f>
        <v>240.7</v>
      </c>
      <c r="AM26" s="535">
        <f>AM8+AM15+AM21+AM23</f>
        <v>4.5066648524272184</v>
      </c>
      <c r="AN26" s="536">
        <f>AN8+AN15+AN21+AN23</f>
        <v>2.4381149088953582</v>
      </c>
      <c r="AO26" s="534">
        <f>AO8</f>
        <v>250.27</v>
      </c>
      <c r="AP26" s="535">
        <f>AP8+AP15+AP21+AP23</f>
        <v>4.660668377497208</v>
      </c>
      <c r="AQ26" s="536">
        <f>AQ8+AQ15+AQ21+AQ23</f>
        <v>2.5014564580322558</v>
      </c>
      <c r="AR26" s="534">
        <f>AR8</f>
        <v>255.28</v>
      </c>
      <c r="AS26" s="535">
        <f>AS8+AS15+AS21+AS23</f>
        <v>4.7363143167804029</v>
      </c>
      <c r="AT26" s="536">
        <f>AT8+AT15+AT21+AT23</f>
        <v>2.5499237592261212</v>
      </c>
      <c r="AU26" s="534">
        <f>AU8</f>
        <v>256.64999999999998</v>
      </c>
      <c r="AV26" s="535">
        <f>AV8+AV15+AV21+AV23</f>
        <v>4.7666359104358387</v>
      </c>
      <c r="AW26" s="536">
        <f>AW8+AW15+AW21+AW23</f>
        <v>2.5646530389656399</v>
      </c>
      <c r="AX26" s="534">
        <f>AX8</f>
        <v>258.47000000000003</v>
      </c>
      <c r="AY26" s="535">
        <f>AY8+AY15+AY21+AY23</f>
        <v>4.7969509968944433</v>
      </c>
      <c r="AZ26" s="536">
        <f>AZ8+AZ15+AZ21+AZ23</f>
        <v>2.5793569119066047</v>
      </c>
      <c r="BA26" s="534">
        <f>BA8</f>
        <v>250.73</v>
      </c>
      <c r="BB26" s="535">
        <f>BB8+BB15+BB21+BB23</f>
        <v>4.6790066283491338</v>
      </c>
      <c r="BC26" s="536">
        <f>BC8+BC15+BC21+BC23</f>
        <v>2.5162509983719805</v>
      </c>
      <c r="BD26" s="534">
        <f>BD8</f>
        <v>243.44</v>
      </c>
      <c r="BE26" s="535">
        <f>BE8+BE15+BE21+BE23</f>
        <v>4.5066477270358831</v>
      </c>
      <c r="BF26" s="536">
        <f>BF8+BF15+BF21+BF23</f>
        <v>2.4380491501226316</v>
      </c>
      <c r="BG26" s="534">
        <f>BG8</f>
        <v>242.98</v>
      </c>
      <c r="BH26" s="535">
        <f>BH8+BH15+BH21+BH23</f>
        <v>4.5196605762174995</v>
      </c>
      <c r="BI26" s="536">
        <f>BI8+BI15+BI21+BI23</f>
        <v>2.4444317274053291</v>
      </c>
      <c r="BJ26" s="534">
        <f>BJ8</f>
        <v>245.72</v>
      </c>
      <c r="BK26" s="535">
        <f>BK8+BK15+BK21+BK23</f>
        <v>4.5846793393010561</v>
      </c>
      <c r="BL26" s="536">
        <f>BL8+BL15+BL21+BL23</f>
        <v>2.4761682607465052</v>
      </c>
      <c r="BM26" s="534">
        <f>BM8</f>
        <v>244.81</v>
      </c>
      <c r="BN26" s="535">
        <f>BN8+BN15+BN21+BN23</f>
        <v>4.5793435028102261</v>
      </c>
      <c r="BO26" s="536">
        <f>BO8+BO15+BO21+BO23</f>
        <v>2.4677149493702633</v>
      </c>
      <c r="BP26" s="534">
        <f>BP8</f>
        <v>240.7</v>
      </c>
      <c r="BQ26" s="535">
        <f>BQ8+BQ15+BQ21+BQ23</f>
        <v>4.5066648524272184</v>
      </c>
      <c r="BR26" s="536">
        <f>BR8+BR15+BR21+BR23</f>
        <v>2.4381149088953582</v>
      </c>
      <c r="BS26" s="534">
        <f>BS8</f>
        <v>237.51</v>
      </c>
      <c r="BT26" s="535">
        <f>BT8+BT15+BT21+BT23</f>
        <v>4.4546427092770697</v>
      </c>
      <c r="BU26" s="536">
        <f>BU8+BU15+BU21+BU23</f>
        <v>2.4126966885817156</v>
      </c>
      <c r="BV26" s="534">
        <f>BV8</f>
        <v>235.22</v>
      </c>
      <c r="BW26" s="535">
        <f>BW8+BW15+BW21+BW23</f>
        <v>4.4112823600901185</v>
      </c>
      <c r="BX26" s="536">
        <f>BX8+BX15+BX21+BX23</f>
        <v>2.391481211675202</v>
      </c>
      <c r="BY26" s="534">
        <f>BY8</f>
        <v>230.66</v>
      </c>
      <c r="BZ26" s="535">
        <f>BZ8+BZ15+BZ21+BZ23</f>
        <v>4.5318654827397182</v>
      </c>
      <c r="CA26" s="536">
        <f>CA8+CA15+CA21+CA23</f>
        <v>2.3447120115294244</v>
      </c>
    </row>
    <row r="27" spans="1:88" x14ac:dyDescent="0.2">
      <c r="A27" s="537" t="s">
        <v>0</v>
      </c>
      <c r="B27" s="538" t="s">
        <v>184</v>
      </c>
      <c r="C27" s="539">
        <f>(I7+L7+O7+R7+U7+X7+AA7+AD7+AG7+AJ7+AM7+AP7+AS7+AV7+AY7+BB7+BE7+BH7+BK7+BN7+BQ7+BT7+BW7+BZ7)/SQRT((I7+L7+O7+R7+U7+X7+AA7+AD7+AG7+AJ7+AM7+AP7+AS7+AV7+AY7+BB7+BE7+BH7+BK7+BN7+BQ7+BT7+BW7+BZ7)^2+(J7+M7+P7+S7+V7+Y7+AB7+AE7+AH7+AK7+AN7+AQ7+AT7+AW7+BC7+AZ7+BF7+BI7+BL7+BO7+BR7+BU7+BX7+CA7)^2)</f>
        <v>0.88080011649735612</v>
      </c>
      <c r="D27" s="540" t="s">
        <v>185</v>
      </c>
      <c r="E27" s="2337">
        <f>(J7+M7+P7+S7+V7+Y7+AB7+AE7+AH7+AK7+AN7+AQ7+AT7+AW7+BC7+AZ7+BF7+BI7+BL7+BO7+BR7+BU7+BX7+CA7)/(I7+L7+O7+R7+U7+X7+AA7+AD7+AG7+AJ7+AM7+AP7+AS7+AV7+AY7+BB7+BE7+BH7+BK7+BN7+BQ7+BT7+BW7+BZ7)</f>
        <v>0.53756610019386797</v>
      </c>
      <c r="F27" s="2337"/>
      <c r="G27" s="541"/>
      <c r="H27" s="542"/>
      <c r="I27" s="543"/>
      <c r="J27" s="544"/>
      <c r="K27" s="542"/>
      <c r="L27" s="543"/>
      <c r="M27" s="544"/>
      <c r="N27" s="542"/>
      <c r="O27" s="543"/>
      <c r="P27" s="544"/>
      <c r="Q27" s="542"/>
      <c r="R27" s="543"/>
      <c r="S27" s="544"/>
      <c r="T27" s="542"/>
      <c r="U27" s="543"/>
      <c r="V27" s="544"/>
      <c r="W27" s="542"/>
      <c r="X27" s="543"/>
      <c r="Y27" s="544"/>
      <c r="Z27" s="542"/>
      <c r="AA27" s="543"/>
      <c r="AB27" s="544"/>
      <c r="AC27" s="542"/>
      <c r="AD27" s="543"/>
      <c r="AE27" s="544"/>
      <c r="AF27" s="542"/>
      <c r="AG27" s="543"/>
      <c r="AH27" s="544"/>
      <c r="AI27" s="542"/>
      <c r="AJ27" s="543"/>
      <c r="AK27" s="544"/>
      <c r="AL27" s="542"/>
      <c r="AM27" s="543"/>
      <c r="AN27" s="544"/>
      <c r="AO27" s="542"/>
      <c r="AP27" s="543"/>
      <c r="AQ27" s="544"/>
      <c r="AR27" s="542"/>
      <c r="AS27" s="543"/>
      <c r="AT27" s="544"/>
      <c r="AU27" s="542"/>
      <c r="AV27" s="543"/>
      <c r="AW27" s="544"/>
      <c r="AX27" s="542"/>
      <c r="AY27" s="543"/>
      <c r="AZ27" s="544"/>
      <c r="BA27" s="542"/>
      <c r="BB27" s="543"/>
      <c r="BC27" s="544"/>
      <c r="BD27" s="542"/>
      <c r="BE27" s="543"/>
      <c r="BF27" s="544"/>
      <c r="BG27" s="542"/>
      <c r="BH27" s="543"/>
      <c r="BI27" s="544"/>
      <c r="BJ27" s="542"/>
      <c r="BK27" s="543"/>
      <c r="BL27" s="544"/>
      <c r="BM27" s="542"/>
      <c r="BN27" s="543"/>
      <c r="BO27" s="544"/>
      <c r="BP27" s="542"/>
      <c r="BQ27" s="543"/>
      <c r="BR27" s="544"/>
      <c r="BS27" s="542"/>
      <c r="BT27" s="543"/>
      <c r="BU27" s="544"/>
      <c r="BV27" s="542"/>
      <c r="BW27" s="543"/>
      <c r="BX27" s="544"/>
      <c r="BY27" s="542"/>
      <c r="BZ27" s="543"/>
      <c r="CA27" s="544"/>
    </row>
    <row r="28" spans="1:88" ht="12.75" customHeight="1" thickBot="1" x14ac:dyDescent="0.25">
      <c r="A28" s="545" t="s">
        <v>85</v>
      </c>
      <c r="B28" s="546" t="s">
        <v>184</v>
      </c>
      <c r="C28" s="547">
        <f>(I14+L14+O14+R14+U14+X14+AA14+AD14+AG14+AJ14+AM14+AP14+AS14+AV14+AY14+BB14+BE14+BH14+BK14+BN14+BQ14+BT14+BW14+BZ14)/SQRT((I14+L14+O14+R14+U14+X14+AA14+AD14+AG14+AJ14+AM14+AP14+AS14+AV14+AY14+BB14+BE14+BH14+BK14+BN14+BQ14+BT14+BW14+BZ14)^2+(J14+M14+P14+S14+V14+Y14+AB14+AE14+AH14+AK14+AN14+AQ14+AT14+AW14+BC14+AZ14+BF14+BI14+BL14+BO14+BR14+BU14+BX14+CA14)^2)</f>
        <v>0.8805895816952356</v>
      </c>
      <c r="D28" s="548" t="s">
        <v>185</v>
      </c>
      <c r="E28" s="2338">
        <f>(J14+M14+P14+S14+V14+Y14+AB14+AE14+AH14+AK14+AN14+AQ14+AT14+AW14+BC14+AZ14+BF14+BI14+BL14+BO14+BR14+BU14+BX14+CA14)/(I14+L14+O14+R14+U14+X14+AA14+AD14+AG14+AJ14+AM14+AP14+AS14+AV14+AY14+BB14+BE14+BH14+BK14+BN14+BQ14+BT14+BW14+BZ14)</f>
        <v>0.53813913928807544</v>
      </c>
      <c r="F28" s="2338"/>
      <c r="G28" s="549"/>
      <c r="H28" s="545"/>
      <c r="I28" s="550"/>
      <c r="J28" s="550"/>
      <c r="K28" s="545"/>
      <c r="L28" s="550"/>
      <c r="M28" s="550"/>
      <c r="N28" s="545"/>
      <c r="O28" s="550"/>
      <c r="P28" s="550"/>
      <c r="Q28" s="545"/>
      <c r="R28" s="550"/>
      <c r="S28" s="550"/>
      <c r="T28" s="545"/>
      <c r="U28" s="550"/>
      <c r="V28" s="550"/>
      <c r="W28" s="545"/>
      <c r="X28" s="550"/>
      <c r="Y28" s="550"/>
      <c r="Z28" s="545"/>
      <c r="AA28" s="550"/>
      <c r="AB28" s="550"/>
      <c r="AC28" s="545"/>
      <c r="AD28" s="550"/>
      <c r="AE28" s="550"/>
      <c r="AF28" s="545"/>
      <c r="AG28" s="550"/>
      <c r="AH28" s="550"/>
      <c r="AI28" s="545"/>
      <c r="AJ28" s="550"/>
      <c r="AK28" s="550"/>
      <c r="AL28" s="545"/>
      <c r="AM28" s="550"/>
      <c r="AN28" s="550"/>
      <c r="AO28" s="545"/>
      <c r="AP28" s="550"/>
      <c r="AQ28" s="550"/>
      <c r="AR28" s="545"/>
      <c r="AS28" s="550"/>
      <c r="AT28" s="550"/>
      <c r="AU28" s="545"/>
      <c r="AV28" s="550"/>
      <c r="AW28" s="550"/>
      <c r="AX28" s="545"/>
      <c r="AY28" s="550"/>
      <c r="AZ28" s="550"/>
      <c r="BA28" s="545"/>
      <c r="BB28" s="550"/>
      <c r="BC28" s="550"/>
      <c r="BD28" s="545"/>
      <c r="BE28" s="550"/>
      <c r="BF28" s="550"/>
      <c r="BG28" s="545"/>
      <c r="BH28" s="550"/>
      <c r="BI28" s="550"/>
      <c r="BJ28" s="545"/>
      <c r="BK28" s="550"/>
      <c r="BL28" s="550"/>
      <c r="BM28" s="545"/>
      <c r="BN28" s="550"/>
      <c r="BO28" s="550"/>
      <c r="BP28" s="545"/>
      <c r="BQ28" s="550"/>
      <c r="BR28" s="550"/>
      <c r="BS28" s="545"/>
      <c r="BT28" s="550"/>
      <c r="BU28" s="550"/>
      <c r="BV28" s="545"/>
      <c r="BW28" s="550"/>
      <c r="BX28" s="550"/>
      <c r="BY28" s="545"/>
      <c r="BZ28" s="550"/>
      <c r="CA28" s="550"/>
    </row>
    <row r="29" spans="1:88" x14ac:dyDescent="0.2">
      <c r="A29" s="2284" t="s">
        <v>40</v>
      </c>
      <c r="B29" s="2285"/>
      <c r="C29" s="2286"/>
      <c r="D29" s="2287" t="s">
        <v>5</v>
      </c>
      <c r="E29" s="2288"/>
      <c r="F29" s="2289" t="s">
        <v>6</v>
      </c>
      <c r="G29" s="2290"/>
      <c r="H29" s="551" t="s">
        <v>4</v>
      </c>
      <c r="I29" s="552" t="s">
        <v>9</v>
      </c>
      <c r="J29" s="553" t="s">
        <v>10</v>
      </c>
      <c r="K29" s="551" t="s">
        <v>4</v>
      </c>
      <c r="L29" s="552" t="s">
        <v>9</v>
      </c>
      <c r="M29" s="553" t="s">
        <v>10</v>
      </c>
      <c r="N29" s="551" t="s">
        <v>4</v>
      </c>
      <c r="O29" s="552" t="s">
        <v>9</v>
      </c>
      <c r="P29" s="553" t="s">
        <v>10</v>
      </c>
      <c r="Q29" s="551" t="s">
        <v>4</v>
      </c>
      <c r="R29" s="552" t="s">
        <v>9</v>
      </c>
      <c r="S29" s="553" t="s">
        <v>10</v>
      </c>
      <c r="T29" s="551" t="s">
        <v>4</v>
      </c>
      <c r="U29" s="552" t="s">
        <v>9</v>
      </c>
      <c r="V29" s="553" t="s">
        <v>10</v>
      </c>
      <c r="W29" s="551" t="s">
        <v>4</v>
      </c>
      <c r="X29" s="552" t="s">
        <v>9</v>
      </c>
      <c r="Y29" s="553" t="s">
        <v>10</v>
      </c>
      <c r="Z29" s="551" t="s">
        <v>4</v>
      </c>
      <c r="AA29" s="552" t="s">
        <v>9</v>
      </c>
      <c r="AB29" s="553" t="s">
        <v>10</v>
      </c>
      <c r="AC29" s="551" t="s">
        <v>4</v>
      </c>
      <c r="AD29" s="552" t="s">
        <v>9</v>
      </c>
      <c r="AE29" s="553" t="s">
        <v>10</v>
      </c>
      <c r="AF29" s="551" t="s">
        <v>4</v>
      </c>
      <c r="AG29" s="552" t="s">
        <v>9</v>
      </c>
      <c r="AH29" s="553" t="s">
        <v>10</v>
      </c>
      <c r="AI29" s="551" t="s">
        <v>4</v>
      </c>
      <c r="AJ29" s="552" t="s">
        <v>9</v>
      </c>
      <c r="AK29" s="553" t="s">
        <v>10</v>
      </c>
      <c r="AL29" s="551" t="s">
        <v>4</v>
      </c>
      <c r="AM29" s="552" t="s">
        <v>9</v>
      </c>
      <c r="AN29" s="553" t="s">
        <v>10</v>
      </c>
      <c r="AO29" s="551" t="s">
        <v>4</v>
      </c>
      <c r="AP29" s="552" t="s">
        <v>9</v>
      </c>
      <c r="AQ29" s="553" t="s">
        <v>10</v>
      </c>
      <c r="AR29" s="551" t="s">
        <v>4</v>
      </c>
      <c r="AS29" s="552" t="s">
        <v>9</v>
      </c>
      <c r="AT29" s="553" t="s">
        <v>10</v>
      </c>
      <c r="AU29" s="551" t="s">
        <v>4</v>
      </c>
      <c r="AV29" s="552" t="s">
        <v>9</v>
      </c>
      <c r="AW29" s="553" t="s">
        <v>10</v>
      </c>
      <c r="AX29" s="551" t="s">
        <v>4</v>
      </c>
      <c r="AY29" s="552" t="s">
        <v>9</v>
      </c>
      <c r="AZ29" s="553" t="s">
        <v>10</v>
      </c>
      <c r="BA29" s="551" t="s">
        <v>4</v>
      </c>
      <c r="BB29" s="552" t="s">
        <v>9</v>
      </c>
      <c r="BC29" s="553" t="s">
        <v>10</v>
      </c>
      <c r="BD29" s="551" t="s">
        <v>4</v>
      </c>
      <c r="BE29" s="552" t="s">
        <v>9</v>
      </c>
      <c r="BF29" s="553" t="s">
        <v>10</v>
      </c>
      <c r="BG29" s="551" t="s">
        <v>4</v>
      </c>
      <c r="BH29" s="552" t="s">
        <v>9</v>
      </c>
      <c r="BI29" s="553" t="s">
        <v>10</v>
      </c>
      <c r="BJ29" s="551" t="s">
        <v>4</v>
      </c>
      <c r="BK29" s="552" t="s">
        <v>9</v>
      </c>
      <c r="BL29" s="553" t="s">
        <v>10</v>
      </c>
      <c r="BM29" s="551" t="s">
        <v>4</v>
      </c>
      <c r="BN29" s="552" t="s">
        <v>9</v>
      </c>
      <c r="BO29" s="553" t="s">
        <v>10</v>
      </c>
      <c r="BP29" s="551" t="s">
        <v>4</v>
      </c>
      <c r="BQ29" s="552" t="s">
        <v>9</v>
      </c>
      <c r="BR29" s="553" t="s">
        <v>10</v>
      </c>
      <c r="BS29" s="551" t="s">
        <v>4</v>
      </c>
      <c r="BT29" s="552" t="s">
        <v>9</v>
      </c>
      <c r="BU29" s="553" t="s">
        <v>10</v>
      </c>
      <c r="BV29" s="551" t="s">
        <v>4</v>
      </c>
      <c r="BW29" s="552" t="s">
        <v>9</v>
      </c>
      <c r="BX29" s="553" t="s">
        <v>10</v>
      </c>
      <c r="BY29" s="551" t="s">
        <v>4</v>
      </c>
      <c r="BZ29" s="552" t="s">
        <v>9</v>
      </c>
      <c r="CA29" s="553" t="s">
        <v>10</v>
      </c>
    </row>
    <row r="30" spans="1:88" ht="13.5" thickBot="1" x14ac:dyDescent="0.25">
      <c r="A30" s="2374" t="s">
        <v>186</v>
      </c>
      <c r="B30" s="2291"/>
      <c r="C30" s="2292"/>
      <c r="D30" s="554" t="s">
        <v>7</v>
      </c>
      <c r="E30" s="554" t="s">
        <v>8</v>
      </c>
      <c r="F30" s="554" t="s">
        <v>7</v>
      </c>
      <c r="G30" s="555" t="s">
        <v>8</v>
      </c>
      <c r="H30" s="556" t="s">
        <v>30</v>
      </c>
      <c r="I30" s="557" t="s">
        <v>31</v>
      </c>
      <c r="J30" s="558" t="s">
        <v>32</v>
      </c>
      <c r="K30" s="556" t="s">
        <v>30</v>
      </c>
      <c r="L30" s="557" t="s">
        <v>31</v>
      </c>
      <c r="M30" s="558" t="s">
        <v>32</v>
      </c>
      <c r="N30" s="556" t="s">
        <v>30</v>
      </c>
      <c r="O30" s="557" t="s">
        <v>31</v>
      </c>
      <c r="P30" s="558" t="s">
        <v>32</v>
      </c>
      <c r="Q30" s="556" t="s">
        <v>30</v>
      </c>
      <c r="R30" s="557" t="s">
        <v>31</v>
      </c>
      <c r="S30" s="558" t="s">
        <v>32</v>
      </c>
      <c r="T30" s="556" t="s">
        <v>30</v>
      </c>
      <c r="U30" s="557" t="s">
        <v>31</v>
      </c>
      <c r="V30" s="558" t="s">
        <v>32</v>
      </c>
      <c r="W30" s="556" t="s">
        <v>30</v>
      </c>
      <c r="X30" s="557" t="s">
        <v>31</v>
      </c>
      <c r="Y30" s="558" t="s">
        <v>32</v>
      </c>
      <c r="Z30" s="556" t="s">
        <v>30</v>
      </c>
      <c r="AA30" s="557" t="s">
        <v>31</v>
      </c>
      <c r="AB30" s="558" t="s">
        <v>32</v>
      </c>
      <c r="AC30" s="556" t="s">
        <v>30</v>
      </c>
      <c r="AD30" s="557" t="s">
        <v>31</v>
      </c>
      <c r="AE30" s="558" t="s">
        <v>32</v>
      </c>
      <c r="AF30" s="556" t="s">
        <v>30</v>
      </c>
      <c r="AG30" s="557" t="s">
        <v>31</v>
      </c>
      <c r="AH30" s="558" t="s">
        <v>32</v>
      </c>
      <c r="AI30" s="556" t="s">
        <v>30</v>
      </c>
      <c r="AJ30" s="557" t="s">
        <v>31</v>
      </c>
      <c r="AK30" s="558" t="s">
        <v>32</v>
      </c>
      <c r="AL30" s="556" t="s">
        <v>30</v>
      </c>
      <c r="AM30" s="557" t="s">
        <v>31</v>
      </c>
      <c r="AN30" s="558" t="s">
        <v>32</v>
      </c>
      <c r="AO30" s="556" t="s">
        <v>30</v>
      </c>
      <c r="AP30" s="557" t="s">
        <v>31</v>
      </c>
      <c r="AQ30" s="558" t="s">
        <v>32</v>
      </c>
      <c r="AR30" s="556" t="s">
        <v>30</v>
      </c>
      <c r="AS30" s="557" t="s">
        <v>31</v>
      </c>
      <c r="AT30" s="558" t="s">
        <v>32</v>
      </c>
      <c r="AU30" s="556" t="s">
        <v>30</v>
      </c>
      <c r="AV30" s="557" t="s">
        <v>31</v>
      </c>
      <c r="AW30" s="558" t="s">
        <v>32</v>
      </c>
      <c r="AX30" s="556" t="s">
        <v>30</v>
      </c>
      <c r="AY30" s="557" t="s">
        <v>31</v>
      </c>
      <c r="AZ30" s="558" t="s">
        <v>32</v>
      </c>
      <c r="BA30" s="556" t="s">
        <v>30</v>
      </c>
      <c r="BB30" s="557" t="s">
        <v>31</v>
      </c>
      <c r="BC30" s="558" t="s">
        <v>32</v>
      </c>
      <c r="BD30" s="556" t="s">
        <v>30</v>
      </c>
      <c r="BE30" s="557" t="s">
        <v>31</v>
      </c>
      <c r="BF30" s="558" t="s">
        <v>32</v>
      </c>
      <c r="BG30" s="556" t="s">
        <v>30</v>
      </c>
      <c r="BH30" s="557" t="s">
        <v>31</v>
      </c>
      <c r="BI30" s="558" t="s">
        <v>32</v>
      </c>
      <c r="BJ30" s="556" t="s">
        <v>30</v>
      </c>
      <c r="BK30" s="557" t="s">
        <v>31</v>
      </c>
      <c r="BL30" s="558" t="s">
        <v>32</v>
      </c>
      <c r="BM30" s="556" t="s">
        <v>30</v>
      </c>
      <c r="BN30" s="557" t="s">
        <v>31</v>
      </c>
      <c r="BO30" s="558" t="s">
        <v>32</v>
      </c>
      <c r="BP30" s="556" t="s">
        <v>30</v>
      </c>
      <c r="BQ30" s="557" t="s">
        <v>31</v>
      </c>
      <c r="BR30" s="558" t="s">
        <v>32</v>
      </c>
      <c r="BS30" s="556" t="s">
        <v>30</v>
      </c>
      <c r="BT30" s="557" t="s">
        <v>31</v>
      </c>
      <c r="BU30" s="558" t="s">
        <v>32</v>
      </c>
      <c r="BV30" s="556" t="s">
        <v>30</v>
      </c>
      <c r="BW30" s="557" t="s">
        <v>31</v>
      </c>
      <c r="BX30" s="558" t="s">
        <v>32</v>
      </c>
      <c r="BY30" s="556" t="s">
        <v>30</v>
      </c>
      <c r="BZ30" s="557" t="s">
        <v>31</v>
      </c>
      <c r="CA30" s="558" t="s">
        <v>32</v>
      </c>
    </row>
    <row r="31" spans="1:88" x14ac:dyDescent="0.2">
      <c r="A31" s="2360" t="s">
        <v>187</v>
      </c>
      <c r="B31" s="2361"/>
      <c r="C31" s="2362"/>
      <c r="D31" s="559"/>
      <c r="E31" s="560"/>
      <c r="F31" s="561"/>
      <c r="G31" s="562"/>
      <c r="H31" s="563">
        <f>ROUND(SQRT(I31^2+J31^2)*1000/(SQRT(3)*H$11),2)</f>
        <v>90.78</v>
      </c>
      <c r="I31" s="564">
        <v>0.79400000000000004</v>
      </c>
      <c r="J31" s="564">
        <v>0.53800000000000003</v>
      </c>
      <c r="K31" s="563">
        <f>ROUND(SQRT(L31^2+M31^2)*1000/(SQRT(3)*K$11),2)</f>
        <v>84.2</v>
      </c>
      <c r="L31" s="564">
        <v>0.76200000000000001</v>
      </c>
      <c r="M31" s="565">
        <v>0.45900000000000002</v>
      </c>
      <c r="N31" s="563">
        <f>ROUND(SQRT(O31^2+P31^2)*1000/(SQRT(3)*N$11),2)</f>
        <v>80.92</v>
      </c>
      <c r="O31" s="566">
        <v>0.73599999999999999</v>
      </c>
      <c r="P31" s="567">
        <v>0.435</v>
      </c>
      <c r="Q31" s="563">
        <f>ROUND(SQRT(R31^2+S31^2)*1000/(SQRT(3)*Q$11),2)</f>
        <v>76.81</v>
      </c>
      <c r="R31" s="568">
        <v>0.70499999999999996</v>
      </c>
      <c r="S31" s="569">
        <v>0.40200000000000002</v>
      </c>
      <c r="T31" s="563">
        <f>ROUND(SQRT(U31^2+V31^2)*1000/(SQRT(3)*T$11),2)</f>
        <v>74.58</v>
      </c>
      <c r="U31" s="566">
        <v>0.66800000000000004</v>
      </c>
      <c r="V31" s="567">
        <v>0.41799999999999998</v>
      </c>
      <c r="W31" s="563">
        <f>ROUND(SQRT(X31^2+Y31^2)*1000/(SQRT(3)*W$11),2)</f>
        <v>73.91</v>
      </c>
      <c r="X31" s="566">
        <v>0.70199999999999996</v>
      </c>
      <c r="Y31" s="567">
        <v>0.34200000000000003</v>
      </c>
      <c r="Z31" s="563">
        <f>ROUND(SQRT(AA31^2+AB31^2)*1000/(SQRT(3)*Z$11),2)</f>
        <v>73.03</v>
      </c>
      <c r="AA31" s="566">
        <v>0.68200000000000005</v>
      </c>
      <c r="AB31" s="567">
        <v>0.36099999999999999</v>
      </c>
      <c r="AC31" s="563">
        <f>ROUND(SQRT(AD31^2+AE31^2)*1000/(SQRT(3)*AC$11),2)</f>
        <v>73.97</v>
      </c>
      <c r="AD31" s="566">
        <v>0.73599999999999999</v>
      </c>
      <c r="AE31" s="567">
        <v>0.26300000000000001</v>
      </c>
      <c r="AF31" s="563">
        <f>ROUND(SQRT(AG31^2+AH31^2)*1000/(SQRT(3)*AF$11),2)</f>
        <v>79.069999999999993</v>
      </c>
      <c r="AG31" s="568">
        <v>0.77500000000000002</v>
      </c>
      <c r="AH31" s="569">
        <v>0.312</v>
      </c>
      <c r="AI31" s="563">
        <f>ROUND(SQRT(AJ31^2+AK31^2)*1000/(SQRT(3)*AI$11),2)</f>
        <v>84.62</v>
      </c>
      <c r="AJ31" s="566">
        <v>0.82099999999999995</v>
      </c>
      <c r="AK31" s="567">
        <v>0.35399999999999998</v>
      </c>
      <c r="AL31" s="563">
        <f>ROUND(SQRT(AM31^2+AN31^2)*1000/(SQRT(3)*AL$11),2)</f>
        <v>94.69</v>
      </c>
      <c r="AM31" s="566">
        <v>0.87</v>
      </c>
      <c r="AN31" s="567">
        <v>0.49399999999999999</v>
      </c>
      <c r="AO31" s="563">
        <f>ROUND(SQRT(AP31^2+AQ31^2)*1000/(SQRT(3)*AO$11),2)</f>
        <v>99.53</v>
      </c>
      <c r="AP31" s="566">
        <v>0.90300000000000002</v>
      </c>
      <c r="AQ31" s="567">
        <v>0.53900000000000003</v>
      </c>
      <c r="AR31" s="563">
        <f>ROUND(SQRT(AS31^2+AT31^2)*1000/(SQRT(3)*AR$11),2)</f>
        <v>97.71</v>
      </c>
      <c r="AS31" s="566">
        <v>0.96299999999999997</v>
      </c>
      <c r="AT31" s="567">
        <v>0.372</v>
      </c>
      <c r="AU31" s="563">
        <f>ROUND(SQRT(AV31^2+AW31^2)*1000/(SQRT(3)*AU$11),2)</f>
        <v>96.65</v>
      </c>
      <c r="AV31" s="566">
        <v>0.93700000000000006</v>
      </c>
      <c r="AW31" s="567">
        <v>0.40600000000000003</v>
      </c>
      <c r="AX31" s="563">
        <f>ROUND(SQRT(AY31^2+AZ31^2)*1000/(SQRT(3)*AX$11),2)</f>
        <v>99.95</v>
      </c>
      <c r="AY31" s="566">
        <v>0.97399999999999998</v>
      </c>
      <c r="AZ31" s="567">
        <v>0.40799999999999997</v>
      </c>
      <c r="BA31" s="563">
        <f>ROUND(SQRT(BB31^2+BC31^2)*1000/(SQRT(3)*BA$11),2)</f>
        <v>95.1</v>
      </c>
      <c r="BB31" s="566">
        <v>0.93100000000000005</v>
      </c>
      <c r="BC31" s="567">
        <v>0.378</v>
      </c>
      <c r="BD31" s="563">
        <f>ROUND(SQRT(BE31^2+BF31^2)*1000/(SQRT(3)*BD$11),2)</f>
        <v>95.28</v>
      </c>
      <c r="BE31" s="566">
        <v>0.93700000000000006</v>
      </c>
      <c r="BF31" s="567">
        <v>0.36799999999999999</v>
      </c>
      <c r="BG31" s="563">
        <f>ROUND(SQRT(BH31^2+BI31^2)*1000/(SQRT(3)*BG$11),2)</f>
        <v>96.12</v>
      </c>
      <c r="BH31" s="566">
        <v>0.93600000000000005</v>
      </c>
      <c r="BI31" s="567">
        <v>0.39400000000000002</v>
      </c>
      <c r="BJ31" s="563">
        <f>ROUND(SQRT(BK31^2+BL31^2)*1000/(SQRT(3)*BJ$11),2)</f>
        <v>98.27</v>
      </c>
      <c r="BK31" s="566">
        <v>0.96699999999999997</v>
      </c>
      <c r="BL31" s="567">
        <v>0.378</v>
      </c>
      <c r="BM31" s="563">
        <f>ROUND(SQRT(BN31^2+BO31^2)*1000/(SQRT(3)*BM$11),2)</f>
        <v>97.74</v>
      </c>
      <c r="BN31" s="566">
        <v>0.95699999999999996</v>
      </c>
      <c r="BO31" s="567">
        <v>0.38800000000000001</v>
      </c>
      <c r="BP31" s="563">
        <f>ROUND(SQRT(BQ31^2+BR31^2)*1000/(SQRT(3)*BP$11),2)</f>
        <v>93.05</v>
      </c>
      <c r="BQ31" s="566">
        <v>0.91400000000000003</v>
      </c>
      <c r="BR31" s="567">
        <v>0.36199999999999999</v>
      </c>
      <c r="BS31" s="563">
        <f>ROUND(SQRT(BT31^2+BU31^2)*1000/(SQRT(3)*BS$11),2)</f>
        <v>94.07</v>
      </c>
      <c r="BT31" s="566">
        <v>0.91800000000000004</v>
      </c>
      <c r="BU31" s="567">
        <v>0.38100000000000001</v>
      </c>
      <c r="BV31" s="563">
        <f>ROUND(SQRT(BW31^2+BX31^2)*1000/(SQRT(3)*BV$11),2)</f>
        <v>90.88</v>
      </c>
      <c r="BW31" s="566">
        <v>0.90500000000000003</v>
      </c>
      <c r="BX31" s="567">
        <v>0.32100000000000001</v>
      </c>
      <c r="BY31" s="563">
        <f>ROUND(SQRT(BZ31^2+CA31^2)*1000/(SQRT(3)*BY$11),2)</f>
        <v>94.02</v>
      </c>
      <c r="BZ31" s="566">
        <v>0.91700000000000004</v>
      </c>
      <c r="CA31" s="567">
        <v>0.38200000000000001</v>
      </c>
      <c r="CB31" s="570"/>
      <c r="CC31" s="570"/>
      <c r="CF31" s="530"/>
      <c r="CG31" s="530"/>
      <c r="CJ31" s="531"/>
    </row>
    <row r="32" spans="1:88" x14ac:dyDescent="0.2">
      <c r="A32" s="2363" t="s">
        <v>188</v>
      </c>
      <c r="B32" s="2364"/>
      <c r="C32" s="2365"/>
      <c r="D32" s="571"/>
      <c r="E32" s="572"/>
      <c r="F32" s="573"/>
      <c r="G32" s="574"/>
      <c r="H32" s="575">
        <f>ROUND(SQRT(I32^2+J32^2)*1000/(SQRT(3)*H$11),2)</f>
        <v>51.86</v>
      </c>
      <c r="I32" s="576">
        <v>0.504</v>
      </c>
      <c r="J32" s="577">
        <v>0.215</v>
      </c>
      <c r="K32" s="575">
        <f>ROUND(SQRT(L32^2+M32^2)*1000/(SQRT(3)*K$11),2)</f>
        <v>48.45</v>
      </c>
      <c r="L32" s="576">
        <v>0.46500000000000002</v>
      </c>
      <c r="M32" s="577">
        <v>0.214</v>
      </c>
      <c r="N32" s="575">
        <f>ROUND(SQRT(O32^2+P32^2)*1000/(SQRT(3)*N$11),2)</f>
        <v>46.22</v>
      </c>
      <c r="O32" s="566">
        <v>0.44500000000000001</v>
      </c>
      <c r="P32" s="567">
        <v>0.20100000000000001</v>
      </c>
      <c r="Q32" s="575">
        <f>ROUND(SQRT(R32^2+S32^2)*1000/(SQRT(3)*Q$11),2)</f>
        <v>45.34</v>
      </c>
      <c r="R32" s="566">
        <v>0.438</v>
      </c>
      <c r="S32" s="567">
        <v>0.19400000000000001</v>
      </c>
      <c r="T32" s="575">
        <f>ROUND(SQRT(U32^2+V32^2)*1000/(SQRT(3)*T$11),2)</f>
        <v>48.72</v>
      </c>
      <c r="U32" s="578">
        <v>0.45800000000000002</v>
      </c>
      <c r="V32" s="579">
        <v>0.23499999999999999</v>
      </c>
      <c r="W32" s="575">
        <f>ROUND(SQRT(X32^2+Y32^2)*1000/(SQRT(3)*W$11),2)</f>
        <v>42.37</v>
      </c>
      <c r="X32" s="566">
        <v>0.39800000000000002</v>
      </c>
      <c r="Y32" s="567">
        <v>0.20499999999999999</v>
      </c>
      <c r="Z32" s="575">
        <f>ROUND(SQRT(AA32^2+AB32^2)*1000/(SQRT(3)*Z$11),2)</f>
        <v>46.42</v>
      </c>
      <c r="AA32" s="566">
        <v>0.45</v>
      </c>
      <c r="AB32" s="567">
        <v>0.19500000000000001</v>
      </c>
      <c r="AC32" s="575">
        <f>ROUND(SQRT(AD32^2+AE32^2)*1000/(SQRT(3)*AC$11),2)</f>
        <v>48.01</v>
      </c>
      <c r="AD32" s="566">
        <v>0.47899999999999998</v>
      </c>
      <c r="AE32" s="567">
        <v>0.16700000000000001</v>
      </c>
      <c r="AF32" s="575">
        <f>ROUND(SQRT(AG32^2+AH32^2)*1000/(SQRT(3)*AF$11),2)</f>
        <v>61.45</v>
      </c>
      <c r="AG32" s="566">
        <v>0.51900000000000002</v>
      </c>
      <c r="AH32" s="567">
        <v>0.39</v>
      </c>
      <c r="AI32" s="575">
        <f>ROUND(SQRT(AJ32^2+AK32^2)*1000/(SQRT(3)*AI$11),2)</f>
        <v>57.3</v>
      </c>
      <c r="AJ32" s="566">
        <v>0.56200000000000006</v>
      </c>
      <c r="AK32" s="567">
        <v>0.22500000000000001</v>
      </c>
      <c r="AL32" s="575">
        <f>ROUND(SQRT(AM32^2+AN32^2)*1000/(SQRT(3)*AL$11),2)</f>
        <v>63.86</v>
      </c>
      <c r="AM32" s="566">
        <v>0.61699999999999999</v>
      </c>
      <c r="AN32" s="567">
        <v>0.27300000000000002</v>
      </c>
      <c r="AO32" s="575">
        <f>ROUND(SQRT(AP32^2+AQ32^2)*1000/(SQRT(3)*AO$11),2)</f>
        <v>66.16</v>
      </c>
      <c r="AP32" s="566">
        <v>0.63600000000000001</v>
      </c>
      <c r="AQ32" s="567">
        <v>0.28999999999999998</v>
      </c>
      <c r="AR32" s="575">
        <f>ROUND(SQRT(AS32^2+AT32^2)*1000/(SQRT(3)*AR$11),2)</f>
        <v>71.17</v>
      </c>
      <c r="AS32" s="566">
        <v>0.61399999999999999</v>
      </c>
      <c r="AT32" s="567">
        <v>0.434</v>
      </c>
      <c r="AU32" s="575">
        <f>ROUND(SQRT(AV32^2+AW32^2)*1000/(SQRT(3)*AU$11),2)</f>
        <v>79.19</v>
      </c>
      <c r="AV32" s="566">
        <v>0.67600000000000005</v>
      </c>
      <c r="AW32" s="567">
        <v>0.49299999999999999</v>
      </c>
      <c r="AX32" s="575">
        <f>ROUND(SQRT(AY32^2+AZ32^2)*1000/(SQRT(3)*AX$11),2)</f>
        <v>75.48</v>
      </c>
      <c r="AY32" s="566">
        <v>0.67600000000000005</v>
      </c>
      <c r="AZ32" s="567">
        <v>0.42299999999999999</v>
      </c>
      <c r="BA32" s="575">
        <f>ROUND(SQRT(BB32^2+BC32^2)*1000/(SQRT(3)*BA$11),2)</f>
        <v>75.66</v>
      </c>
      <c r="BB32" s="566">
        <v>0.66200000000000003</v>
      </c>
      <c r="BC32" s="567">
        <v>0.44800000000000001</v>
      </c>
      <c r="BD32" s="575">
        <f>ROUND(SQRT(BE32^2+BF32^2)*1000/(SQRT(3)*BD$11),2)</f>
        <v>71.739999999999995</v>
      </c>
      <c r="BE32" s="566">
        <v>0.62</v>
      </c>
      <c r="BF32" s="567">
        <v>0.436</v>
      </c>
      <c r="BG32" s="575">
        <f>ROUND(SQRT(BH32^2+BI32^2)*1000/(SQRT(3)*BG$11),2)</f>
        <v>71.430000000000007</v>
      </c>
      <c r="BH32" s="566">
        <v>0.627</v>
      </c>
      <c r="BI32" s="567">
        <v>0.42</v>
      </c>
      <c r="BJ32" s="575">
        <f>ROUND(SQRT(BK32^2+BL32^2)*1000/(SQRT(3)*BJ$11),2)</f>
        <v>70.42</v>
      </c>
      <c r="BK32" s="566">
        <v>0.61</v>
      </c>
      <c r="BL32" s="567">
        <v>0.42599999999999999</v>
      </c>
      <c r="BM32" s="575">
        <f>ROUND(SQRT(BN32^2+BO32^2)*1000/(SQRT(3)*BM$11),2)</f>
        <v>70.64</v>
      </c>
      <c r="BN32" s="566">
        <v>0.57899999999999996</v>
      </c>
      <c r="BO32" s="567">
        <v>0.47099999999999997</v>
      </c>
      <c r="BP32" s="575">
        <f>ROUND(SQRT(BQ32^2+BR32^2)*1000/(SQRT(3)*BP$11),2)</f>
        <v>70.47</v>
      </c>
      <c r="BQ32" s="566">
        <v>0.60499999999999998</v>
      </c>
      <c r="BR32" s="567">
        <v>0.434</v>
      </c>
      <c r="BS32" s="575">
        <f>ROUND(SQRT(BT32^2+BU32^2)*1000/(SQRT(3)*BS$11),2)</f>
        <v>66.56</v>
      </c>
      <c r="BT32" s="566">
        <v>0.56699999999999995</v>
      </c>
      <c r="BU32" s="567">
        <v>0.41599999999999998</v>
      </c>
      <c r="BV32" s="575">
        <f>ROUND(SQRT(BW32^2+BX32^2)*1000/(SQRT(3)*BV$11),2)</f>
        <v>67.41</v>
      </c>
      <c r="BW32" s="566">
        <v>0.56999999999999995</v>
      </c>
      <c r="BX32" s="567">
        <v>0.42699999999999999</v>
      </c>
      <c r="BY32" s="575">
        <f>ROUND(SQRT(BZ32^2+CA32^2)*1000/(SQRT(3)*BY$11),2)</f>
        <v>63.31</v>
      </c>
      <c r="BZ32" s="566">
        <v>0.52300000000000002</v>
      </c>
      <c r="CA32" s="567">
        <v>0.41699999999999998</v>
      </c>
      <c r="CB32" s="570"/>
      <c r="CC32" s="570"/>
      <c r="CF32" s="530"/>
      <c r="CG32" s="530"/>
      <c r="CJ32" s="531"/>
    </row>
    <row r="33" spans="1:88" x14ac:dyDescent="0.2">
      <c r="A33" s="2363" t="s">
        <v>189</v>
      </c>
      <c r="B33" s="2364"/>
      <c r="C33" s="2365"/>
      <c r="D33" s="580"/>
      <c r="E33" s="581"/>
      <c r="F33" s="581"/>
      <c r="G33" s="582"/>
      <c r="H33" s="575">
        <f>ROUND(SQRT(I33^2+J33^2)*1000/(SQRT(3)*H$11),2)</f>
        <v>50.84</v>
      </c>
      <c r="I33" s="576">
        <v>0.48299999999999998</v>
      </c>
      <c r="J33" s="577">
        <v>0.23499999999999999</v>
      </c>
      <c r="K33" s="575">
        <f>ROUND(SQRT(L33^2+M33^2)*1000/(SQRT(3)*K$11),2)</f>
        <v>47.5</v>
      </c>
      <c r="L33" s="576">
        <v>0.45400000000000001</v>
      </c>
      <c r="M33" s="577">
        <v>0.214</v>
      </c>
      <c r="N33" s="575">
        <f>ROUND(SQRT(O33^2+P33^2)*1000/(SQRT(3)*N$11),2)</f>
        <v>44.93</v>
      </c>
      <c r="O33" s="566">
        <v>0.43</v>
      </c>
      <c r="P33" s="567">
        <v>0.20100000000000001</v>
      </c>
      <c r="Q33" s="575">
        <f>ROUND(SQRT(R33^2+S33^2)*1000/(SQRT(3)*Q$11),2)</f>
        <v>43.6</v>
      </c>
      <c r="R33" s="566">
        <v>0.40899999999999997</v>
      </c>
      <c r="S33" s="567">
        <v>0.21199999999999999</v>
      </c>
      <c r="T33" s="575">
        <f>ROUND(SQRT(U33^2+V33^2)*1000/(SQRT(3)*T$11),2)</f>
        <v>42.33</v>
      </c>
      <c r="U33" s="566">
        <v>0.39900000000000002</v>
      </c>
      <c r="V33" s="567">
        <v>0.20200000000000001</v>
      </c>
      <c r="W33" s="575">
        <f>ROUND(SQRT(X33^2+Y33^2)*1000/(SQRT(3)*W$11),2)</f>
        <v>47.23</v>
      </c>
      <c r="X33" s="566">
        <v>0.41699999999999998</v>
      </c>
      <c r="Y33" s="567">
        <v>0.27400000000000002</v>
      </c>
      <c r="Z33" s="575">
        <f>ROUND(SQRT(AA33^2+AB33^2)*1000/(SQRT(3)*Z$11),2)</f>
        <v>45.29</v>
      </c>
      <c r="AA33" s="566">
        <v>0.40799999999999997</v>
      </c>
      <c r="AB33" s="567">
        <v>0.25</v>
      </c>
      <c r="AC33" s="575">
        <f>ROUND(SQRT(AD33^2+AE33^2)*1000/(SQRT(3)*AC$11),2)</f>
        <v>52.63</v>
      </c>
      <c r="AD33" s="566">
        <v>0.38</v>
      </c>
      <c r="AE33" s="567">
        <v>0.40600000000000003</v>
      </c>
      <c r="AF33" s="575">
        <f>ROUND(SQRT(AG33^2+AH33^2)*1000/(SQRT(3)*AF$11),2)</f>
        <v>48.04</v>
      </c>
      <c r="AG33" s="566">
        <v>0.46300000000000002</v>
      </c>
      <c r="AH33" s="567">
        <v>0.20799999999999999</v>
      </c>
      <c r="AI33" s="575">
        <f>ROUND(SQRT(AJ33^2+AK33^2)*1000/(SQRT(3)*AI$11),2)</f>
        <v>60.72</v>
      </c>
      <c r="AJ33" s="566">
        <v>0.53500000000000003</v>
      </c>
      <c r="AK33" s="567">
        <v>0.35399999999999998</v>
      </c>
      <c r="AL33" s="575">
        <f>ROUND(SQRT(AM33^2+AN33^2)*1000/(SQRT(3)*AL$11),2)</f>
        <v>62.39</v>
      </c>
      <c r="AM33" s="566">
        <v>0.6</v>
      </c>
      <c r="AN33" s="567">
        <v>0.27300000000000002</v>
      </c>
      <c r="AO33" s="575">
        <f>ROUND(SQRT(AP33^2+AQ33^2)*1000/(SQRT(3)*AO$11),2)</f>
        <v>64.319999999999993</v>
      </c>
      <c r="AP33" s="566">
        <v>0.59299999999999997</v>
      </c>
      <c r="AQ33" s="567">
        <v>0.33200000000000002</v>
      </c>
      <c r="AR33" s="575">
        <f>ROUND(SQRT(AS33^2+AT33^2)*1000/(SQRT(3)*AR$11),2)</f>
        <v>65.73</v>
      </c>
      <c r="AS33" s="578">
        <v>0.63600000000000001</v>
      </c>
      <c r="AT33" s="579">
        <v>0.27900000000000003</v>
      </c>
      <c r="AU33" s="575">
        <f>ROUND(SQRT(AV33^2+AW33^2)*1000/(SQRT(3)*AU$11),2)</f>
        <v>63.75</v>
      </c>
      <c r="AV33" s="566">
        <v>0.60499999999999998</v>
      </c>
      <c r="AW33" s="567">
        <v>0.29599999999999999</v>
      </c>
      <c r="AX33" s="575">
        <f>ROUND(SQRT(AY33^2+AZ33^2)*1000/(SQRT(3)*AX$11),2)</f>
        <v>62.27</v>
      </c>
      <c r="AY33" s="578">
        <v>0.59899999999999998</v>
      </c>
      <c r="AZ33" s="579">
        <v>0.27200000000000002</v>
      </c>
      <c r="BA33" s="575">
        <f>ROUND(SQRT(BB33^2+BC33^2)*1000/(SQRT(3)*BA$11),2)</f>
        <v>60.03</v>
      </c>
      <c r="BB33" s="566">
        <v>0.58199999999999996</v>
      </c>
      <c r="BC33" s="567">
        <v>0.252</v>
      </c>
      <c r="BD33" s="575">
        <f>ROUND(SQRT(BE33^2+BF33^2)*1000/(SQRT(3)*BD$11),2)</f>
        <v>57.68</v>
      </c>
      <c r="BE33" s="566">
        <v>0.55800000000000005</v>
      </c>
      <c r="BF33" s="567">
        <v>0.245</v>
      </c>
      <c r="BG33" s="575">
        <f>ROUND(SQRT(BH33^2+BI33^2)*1000/(SQRT(3)*BG$11),2)</f>
        <v>55.34</v>
      </c>
      <c r="BH33" s="566">
        <v>0.53500000000000003</v>
      </c>
      <c r="BI33" s="567">
        <v>0.23599999999999999</v>
      </c>
      <c r="BJ33" s="575">
        <f>ROUND(SQRT(BK33^2+BL33^2)*1000/(SQRT(3)*BJ$11),2)</f>
        <v>59.35</v>
      </c>
      <c r="BK33" s="566">
        <v>0.55600000000000005</v>
      </c>
      <c r="BL33" s="567">
        <v>0.28999999999999998</v>
      </c>
      <c r="BM33" s="575">
        <f>ROUND(SQRT(BN33^2+BO33^2)*1000/(SQRT(3)*BM$11),2)</f>
        <v>57.12</v>
      </c>
      <c r="BN33" s="566">
        <v>0.56499999999999995</v>
      </c>
      <c r="BO33" s="567">
        <v>0.21199999999999999</v>
      </c>
      <c r="BP33" s="575">
        <f>ROUND(SQRT(BQ33^2+BR33^2)*1000/(SQRT(3)*BP$11),2)</f>
        <v>57.64</v>
      </c>
      <c r="BQ33" s="566">
        <v>0.55400000000000005</v>
      </c>
      <c r="BR33" s="567">
        <v>0.253</v>
      </c>
      <c r="BS33" s="575">
        <f>ROUND(SQRT(BT33^2+BU33^2)*1000/(SQRT(3)*BS$11),2)</f>
        <v>57.57</v>
      </c>
      <c r="BT33" s="566">
        <v>0.55800000000000005</v>
      </c>
      <c r="BU33" s="567">
        <v>0.24199999999999999</v>
      </c>
      <c r="BV33" s="575">
        <f>ROUND(SQRT(BW33^2+BX33^2)*1000/(SQRT(3)*BV$11),2)</f>
        <v>52.46</v>
      </c>
      <c r="BW33" s="566">
        <v>0.52</v>
      </c>
      <c r="BX33" s="567">
        <v>0.192</v>
      </c>
      <c r="BY33" s="575">
        <f>ROUND(SQRT(BZ33^2+CA33^2)*1000/(SQRT(3)*BY$11),2)</f>
        <v>53.62</v>
      </c>
      <c r="BZ33" s="578">
        <v>0.52700000000000002</v>
      </c>
      <c r="CA33" s="579">
        <v>0.20799999999999999</v>
      </c>
      <c r="CB33" s="570"/>
      <c r="CC33" s="570"/>
      <c r="CF33" s="530"/>
      <c r="CG33" s="530"/>
      <c r="CJ33" s="531"/>
    </row>
    <row r="34" spans="1:88" x14ac:dyDescent="0.2">
      <c r="A34" s="2363" t="s">
        <v>190</v>
      </c>
      <c r="B34" s="2364"/>
      <c r="C34" s="2365"/>
      <c r="D34" s="580"/>
      <c r="E34" s="581"/>
      <c r="F34" s="581"/>
      <c r="G34" s="582"/>
      <c r="H34" s="575">
        <f>ROUND(SQRT(I34^2+J34^2)*1000/(SQRT(3)*H$11),2)</f>
        <v>15.06</v>
      </c>
      <c r="I34" s="576">
        <v>0.155</v>
      </c>
      <c r="J34" s="577">
        <v>3.5999999999999997E-2</v>
      </c>
      <c r="K34" s="575">
        <f>ROUND(SQRT(L34^2+M34^2)*1000/(SQRT(3)*K$11),2)</f>
        <v>17.88</v>
      </c>
      <c r="L34" s="576">
        <v>0.16500000000000001</v>
      </c>
      <c r="M34" s="577">
        <v>9.1999999999999998E-2</v>
      </c>
      <c r="N34" s="575">
        <f>ROUND(SQRT(O34^2+P34^2)*1000/(SQRT(3)*N$11),2)</f>
        <v>17.22</v>
      </c>
      <c r="O34" s="566">
        <v>0.152</v>
      </c>
      <c r="P34" s="567">
        <v>0.1</v>
      </c>
      <c r="Q34" s="575">
        <f>ROUND(SQRT(R34^2+S34^2)*1000/(SQRT(3)*Q$11),2)</f>
        <v>16.59</v>
      </c>
      <c r="R34" s="566">
        <v>0.14599999999999999</v>
      </c>
      <c r="S34" s="567">
        <v>9.7000000000000003E-2</v>
      </c>
      <c r="T34" s="575">
        <f>ROUND(SQRT(U34^2+V34^2)*1000/(SQRT(3)*T$11),2)</f>
        <v>14.26</v>
      </c>
      <c r="U34" s="578">
        <v>0.14599999999999999</v>
      </c>
      <c r="V34" s="579">
        <v>3.6999999999999998E-2</v>
      </c>
      <c r="W34" s="575">
        <f>ROUND(SQRT(X34^2+Y34^2)*1000/(SQRT(3)*W$11),2)</f>
        <v>14.48</v>
      </c>
      <c r="X34" s="578">
        <v>0.13700000000000001</v>
      </c>
      <c r="Y34" s="579">
        <v>6.8000000000000005E-2</v>
      </c>
      <c r="Z34" s="575">
        <f>ROUND(SQRT(AA34^2+AB34^2)*1000/(SQRT(3)*Z$11),2)</f>
        <v>13.42</v>
      </c>
      <c r="AA34" s="566">
        <v>0.115</v>
      </c>
      <c r="AB34" s="567">
        <v>8.3000000000000004E-2</v>
      </c>
      <c r="AC34" s="575">
        <f>ROUND(SQRT(AD34^2+AE34^2)*1000/(SQRT(3)*AC$11),2)</f>
        <v>12.29</v>
      </c>
      <c r="AD34" s="566">
        <v>0.108</v>
      </c>
      <c r="AE34" s="567">
        <v>7.1999999999999995E-2</v>
      </c>
      <c r="AF34" s="575">
        <f>ROUND(SQRT(AG34^2+AH34^2)*1000/(SQRT(3)*AF$11),2)</f>
        <v>13.39</v>
      </c>
      <c r="AG34" s="566">
        <v>0.11799999999999999</v>
      </c>
      <c r="AH34" s="567">
        <v>7.8E-2</v>
      </c>
      <c r="AI34" s="575">
        <f>ROUND(SQRT(AJ34^2+AK34^2)*1000/(SQRT(3)*AI$11),2)</f>
        <v>12.67</v>
      </c>
      <c r="AJ34" s="578">
        <v>0.13</v>
      </c>
      <c r="AK34" s="579">
        <v>3.2000000000000001E-2</v>
      </c>
      <c r="AL34" s="575">
        <f>ROUND(SQRT(AM34^2+AN34^2)*1000/(SQRT(3)*AL$11),2)</f>
        <v>16.91</v>
      </c>
      <c r="AM34" s="566">
        <v>0.13500000000000001</v>
      </c>
      <c r="AN34" s="567">
        <v>0.11700000000000001</v>
      </c>
      <c r="AO34" s="575">
        <f>ROUND(SQRT(AP34^2+AQ34^2)*1000/(SQRT(3)*AO$11),2)</f>
        <v>16.46</v>
      </c>
      <c r="AP34" s="578">
        <v>0.16900000000000001</v>
      </c>
      <c r="AQ34" s="579">
        <v>4.1000000000000002E-2</v>
      </c>
      <c r="AR34" s="575">
        <f>ROUND(SQRT(AS34^2+AT34^2)*1000/(SQRT(3)*AR$11),2)</f>
        <v>19.28</v>
      </c>
      <c r="AS34" s="566">
        <v>0.14799999999999999</v>
      </c>
      <c r="AT34" s="567">
        <v>0.14000000000000001</v>
      </c>
      <c r="AU34" s="575">
        <f>ROUND(SQRT(AV34^2+AW34^2)*1000/(SQRT(3)*AU$11),2)</f>
        <v>14.99</v>
      </c>
      <c r="AV34" s="578">
        <v>0.154</v>
      </c>
      <c r="AW34" s="579">
        <v>3.6999999999999998E-2</v>
      </c>
      <c r="AX34" s="575">
        <f>ROUND(SQRT(AY34^2+AZ34^2)*1000/(SQRT(3)*AX$11),2)</f>
        <v>18.61</v>
      </c>
      <c r="AY34" s="566">
        <v>0.14199999999999999</v>
      </c>
      <c r="AZ34" s="567">
        <v>0.13600000000000001</v>
      </c>
      <c r="BA34" s="575">
        <f>ROUND(SQRT(BB34^2+BC34^2)*1000/(SQRT(3)*BA$11),2)</f>
        <v>17.97</v>
      </c>
      <c r="BB34" s="566">
        <v>0.14199999999999999</v>
      </c>
      <c r="BC34" s="567">
        <v>0.126</v>
      </c>
      <c r="BD34" s="575">
        <f>ROUND(SQRT(BE34^2+BF34^2)*1000/(SQRT(3)*BD$11),2)</f>
        <v>17.149999999999999</v>
      </c>
      <c r="BE34" s="578">
        <v>0.13300000000000001</v>
      </c>
      <c r="BF34" s="579">
        <v>0.123</v>
      </c>
      <c r="BG34" s="575">
        <f>ROUND(SQRT(BH34^2+BI34^2)*1000/(SQRT(3)*BG$11),2)</f>
        <v>17.77</v>
      </c>
      <c r="BH34" s="566">
        <v>0.14599999999999999</v>
      </c>
      <c r="BI34" s="567">
        <v>0.11799999999999999</v>
      </c>
      <c r="BJ34" s="575">
        <f>ROUND(SQRT(BK34^2+BL34^2)*1000/(SQRT(3)*BJ$11),2)</f>
        <v>16.25</v>
      </c>
      <c r="BK34" s="566">
        <v>0.14799999999999999</v>
      </c>
      <c r="BL34" s="567">
        <v>8.6999999999999994E-2</v>
      </c>
      <c r="BM34" s="575">
        <f>ROUND(SQRT(BN34^2+BO34^2)*1000/(SQRT(3)*BM$11),2)</f>
        <v>17.309999999999999</v>
      </c>
      <c r="BN34" s="566">
        <v>0.14899999999999999</v>
      </c>
      <c r="BO34" s="567">
        <v>0.106</v>
      </c>
      <c r="BP34" s="575">
        <f>ROUND(SQRT(BQ34^2+BR34^2)*1000/(SQRT(3)*BP$11),2)</f>
        <v>18.399999999999999</v>
      </c>
      <c r="BQ34" s="566">
        <v>0.161</v>
      </c>
      <c r="BR34" s="567">
        <v>0.109</v>
      </c>
      <c r="BS34" s="575">
        <f>ROUND(SQRT(BT34^2+BU34^2)*1000/(SQRT(3)*BS$11),2)</f>
        <v>17.12</v>
      </c>
      <c r="BT34" s="566">
        <v>0.14799999999999999</v>
      </c>
      <c r="BU34" s="567">
        <v>0.104</v>
      </c>
      <c r="BV34" s="575">
        <f>ROUND(SQRT(BW34^2+BX34^2)*1000/(SQRT(3)*BV$11),2)</f>
        <v>24.52</v>
      </c>
      <c r="BW34" s="566">
        <v>0.17399999999999999</v>
      </c>
      <c r="BX34" s="567">
        <v>0.192</v>
      </c>
      <c r="BY34" s="575">
        <f>ROUND(SQRT(BZ34^2+CA34^2)*1000/(SQRT(3)*BY$11),2)</f>
        <v>18.059999999999999</v>
      </c>
      <c r="BZ34" s="566">
        <v>0.16</v>
      </c>
      <c r="CA34" s="567">
        <v>0.104</v>
      </c>
      <c r="CB34" s="570"/>
      <c r="CC34" s="570"/>
      <c r="CF34" s="530"/>
      <c r="CG34" s="530"/>
      <c r="CJ34" s="531"/>
    </row>
    <row r="35" spans="1:88" s="589" customFormat="1" ht="13.5" thickBot="1" x14ac:dyDescent="0.25">
      <c r="A35" s="2369" t="s">
        <v>191</v>
      </c>
      <c r="B35" s="2370"/>
      <c r="C35" s="2371"/>
      <c r="D35" s="583"/>
      <c r="E35" s="584"/>
      <c r="F35" s="584"/>
      <c r="G35" s="585"/>
      <c r="H35" s="586">
        <f>SUM(H31:H34)</f>
        <v>208.54</v>
      </c>
      <c r="I35" s="587">
        <f>SUM(I31:I34)</f>
        <v>1.9360000000000002</v>
      </c>
      <c r="J35" s="588">
        <f>SUM(J31:J34)</f>
        <v>1.024</v>
      </c>
      <c r="K35" s="586">
        <f t="shared" ref="K35:BV35" si="0">SUM(K31:K34)</f>
        <v>198.03</v>
      </c>
      <c r="L35" s="587">
        <f t="shared" si="0"/>
        <v>1.8460000000000001</v>
      </c>
      <c r="M35" s="588">
        <f t="shared" si="0"/>
        <v>0.97899999999999998</v>
      </c>
      <c r="N35" s="586">
        <f t="shared" si="0"/>
        <v>189.29</v>
      </c>
      <c r="O35" s="587">
        <f t="shared" si="0"/>
        <v>1.7629999999999999</v>
      </c>
      <c r="P35" s="588">
        <f t="shared" si="0"/>
        <v>0.93699999999999994</v>
      </c>
      <c r="Q35" s="586">
        <f t="shared" si="0"/>
        <v>182.34</v>
      </c>
      <c r="R35" s="587">
        <f t="shared" si="0"/>
        <v>1.698</v>
      </c>
      <c r="S35" s="588">
        <f t="shared" si="0"/>
        <v>0.90500000000000003</v>
      </c>
      <c r="T35" s="586">
        <f t="shared" si="0"/>
        <v>179.89</v>
      </c>
      <c r="U35" s="587">
        <f t="shared" si="0"/>
        <v>1.671</v>
      </c>
      <c r="V35" s="588">
        <f t="shared" si="0"/>
        <v>0.89200000000000002</v>
      </c>
      <c r="W35" s="586">
        <f t="shared" si="0"/>
        <v>177.98999999999998</v>
      </c>
      <c r="X35" s="587">
        <f t="shared" si="0"/>
        <v>1.6540000000000001</v>
      </c>
      <c r="Y35" s="588">
        <f t="shared" si="0"/>
        <v>0.88900000000000001</v>
      </c>
      <c r="Z35" s="586">
        <f t="shared" si="0"/>
        <v>178.16</v>
      </c>
      <c r="AA35" s="587">
        <f t="shared" si="0"/>
        <v>1.655</v>
      </c>
      <c r="AB35" s="588">
        <f t="shared" si="0"/>
        <v>0.88900000000000001</v>
      </c>
      <c r="AC35" s="586">
        <f t="shared" si="0"/>
        <v>186.89999999999998</v>
      </c>
      <c r="AD35" s="587">
        <f t="shared" si="0"/>
        <v>1.7029999999999998</v>
      </c>
      <c r="AE35" s="588">
        <f t="shared" si="0"/>
        <v>0.90800000000000003</v>
      </c>
      <c r="AF35" s="586">
        <f t="shared" si="0"/>
        <v>201.95</v>
      </c>
      <c r="AG35" s="587">
        <f t="shared" si="0"/>
        <v>1.875</v>
      </c>
      <c r="AH35" s="588">
        <f t="shared" si="0"/>
        <v>0.98799999999999988</v>
      </c>
      <c r="AI35" s="586">
        <f t="shared" si="0"/>
        <v>215.31</v>
      </c>
      <c r="AJ35" s="587">
        <f t="shared" si="0"/>
        <v>2.048</v>
      </c>
      <c r="AK35" s="588">
        <f t="shared" si="0"/>
        <v>0.96499999999999997</v>
      </c>
      <c r="AL35" s="586">
        <f t="shared" si="0"/>
        <v>237.85</v>
      </c>
      <c r="AM35" s="587">
        <f t="shared" si="0"/>
        <v>2.2220000000000004</v>
      </c>
      <c r="AN35" s="588">
        <f t="shared" si="0"/>
        <v>1.157</v>
      </c>
      <c r="AO35" s="586">
        <f t="shared" si="0"/>
        <v>246.47</v>
      </c>
      <c r="AP35" s="587">
        <f t="shared" si="0"/>
        <v>2.3010000000000002</v>
      </c>
      <c r="AQ35" s="588">
        <f t="shared" si="0"/>
        <v>1.202</v>
      </c>
      <c r="AR35" s="586">
        <f t="shared" si="0"/>
        <v>253.89000000000001</v>
      </c>
      <c r="AS35" s="587">
        <f t="shared" si="0"/>
        <v>2.3610000000000002</v>
      </c>
      <c r="AT35" s="588">
        <f t="shared" si="0"/>
        <v>1.2250000000000001</v>
      </c>
      <c r="AU35" s="586">
        <f t="shared" si="0"/>
        <v>254.58</v>
      </c>
      <c r="AV35" s="587">
        <f t="shared" si="0"/>
        <v>2.3719999999999999</v>
      </c>
      <c r="AW35" s="588">
        <f t="shared" si="0"/>
        <v>1.232</v>
      </c>
      <c r="AX35" s="586">
        <f t="shared" si="0"/>
        <v>256.31</v>
      </c>
      <c r="AY35" s="587">
        <f t="shared" si="0"/>
        <v>2.3909999999999996</v>
      </c>
      <c r="AZ35" s="588">
        <f t="shared" si="0"/>
        <v>1.2389999999999999</v>
      </c>
      <c r="BA35" s="586">
        <f t="shared" si="0"/>
        <v>248.76</v>
      </c>
      <c r="BB35" s="587">
        <f t="shared" si="0"/>
        <v>2.3169999999999997</v>
      </c>
      <c r="BC35" s="588">
        <f t="shared" si="0"/>
        <v>1.2040000000000002</v>
      </c>
      <c r="BD35" s="586">
        <f t="shared" si="0"/>
        <v>241.85</v>
      </c>
      <c r="BE35" s="587">
        <f t="shared" si="0"/>
        <v>2.2480000000000002</v>
      </c>
      <c r="BF35" s="588">
        <f t="shared" si="0"/>
        <v>1.1719999999999999</v>
      </c>
      <c r="BG35" s="586">
        <f t="shared" si="0"/>
        <v>240.66000000000003</v>
      </c>
      <c r="BH35" s="587">
        <f t="shared" si="0"/>
        <v>2.2440000000000002</v>
      </c>
      <c r="BI35" s="588">
        <f t="shared" si="0"/>
        <v>1.1680000000000001</v>
      </c>
      <c r="BJ35" s="586">
        <f t="shared" si="0"/>
        <v>244.29</v>
      </c>
      <c r="BK35" s="587">
        <f t="shared" si="0"/>
        <v>2.2810000000000001</v>
      </c>
      <c r="BL35" s="588">
        <f t="shared" si="0"/>
        <v>1.181</v>
      </c>
      <c r="BM35" s="586">
        <f t="shared" si="0"/>
        <v>242.81</v>
      </c>
      <c r="BN35" s="587">
        <f t="shared" si="0"/>
        <v>2.25</v>
      </c>
      <c r="BO35" s="588">
        <f t="shared" si="0"/>
        <v>1.177</v>
      </c>
      <c r="BP35" s="586">
        <f t="shared" si="0"/>
        <v>239.55999999999997</v>
      </c>
      <c r="BQ35" s="587">
        <f t="shared" si="0"/>
        <v>2.2340000000000004</v>
      </c>
      <c r="BR35" s="588">
        <f t="shared" si="0"/>
        <v>1.1579999999999999</v>
      </c>
      <c r="BS35" s="586">
        <f t="shared" si="0"/>
        <v>235.32</v>
      </c>
      <c r="BT35" s="587">
        <f t="shared" si="0"/>
        <v>2.1910000000000003</v>
      </c>
      <c r="BU35" s="588">
        <f t="shared" si="0"/>
        <v>1.143</v>
      </c>
      <c r="BV35" s="586">
        <f t="shared" si="0"/>
        <v>235.27</v>
      </c>
      <c r="BW35" s="587">
        <f>SUM(BW31:BW34)</f>
        <v>2.169</v>
      </c>
      <c r="BX35" s="588">
        <f>SUM(BX31:BX34)</f>
        <v>1.1319999999999999</v>
      </c>
      <c r="BY35" s="586">
        <f>SUM(BY31:BY34)</f>
        <v>229.01</v>
      </c>
      <c r="BZ35" s="587">
        <f>SUM(BZ31:BZ34)</f>
        <v>2.1270000000000002</v>
      </c>
      <c r="CA35" s="588">
        <f>SUM(CA31:CA34)</f>
        <v>1.111</v>
      </c>
      <c r="CB35" s="515">
        <f>SUM(BZ35,BW35,BT35,BQ35,BN35,BK35,BH35,BE35,BB35,AY35,AV35,AS35,AP35,AM35,AJ35,AG35,AD35,AA35,X35,U35,R35,O35,L35,I35)</f>
        <v>49.557000000000009</v>
      </c>
      <c r="CC35" s="515">
        <f>SUM(CA35,BX35,BU35,BR35,BO35,BL35,BI35,BF35,BC35,AZ35,AW35,AT35,AQ35,AN35,AK35,AH35,AE35,AB35,Y35,V35,S35,P35,M35,J35)</f>
        <v>25.877000000000002</v>
      </c>
      <c r="CF35" s="530"/>
      <c r="CG35" s="530"/>
    </row>
    <row r="36" spans="1:88" x14ac:dyDescent="0.2">
      <c r="A36" s="2360" t="s">
        <v>192</v>
      </c>
      <c r="B36" s="2361"/>
      <c r="C36" s="2362"/>
      <c r="D36" s="559"/>
      <c r="E36" s="560"/>
      <c r="F36" s="561"/>
      <c r="G36" s="562"/>
      <c r="H36" s="563">
        <f>ROUND(SQRT(I36^2+J36^2)*1000/(SQRT(3)*H$11),2)</f>
        <v>6.95</v>
      </c>
      <c r="I36" s="564">
        <v>5.8000000000000003E-2</v>
      </c>
      <c r="J36" s="565">
        <v>4.4999999999999998E-2</v>
      </c>
      <c r="K36" s="563">
        <f>ROUND(SQRT(L36^2+M36^2)*1000/(SQRT(3)*K$11),2)</f>
        <v>4.72</v>
      </c>
      <c r="L36" s="564">
        <v>3.9E-2</v>
      </c>
      <c r="M36" s="565">
        <v>3.1E-2</v>
      </c>
      <c r="N36" s="563">
        <f>ROUND(SQRT(O36^2+P36^2)*1000/(SQRT(3)*N$11),2)</f>
        <v>4.9000000000000004</v>
      </c>
      <c r="O36" s="568">
        <v>3.9E-2</v>
      </c>
      <c r="P36" s="569">
        <v>3.4000000000000002E-2</v>
      </c>
      <c r="Q36" s="563">
        <f>ROUND(SQRT(R36^2+S36^2)*1000/(SQRT(3)*Q$11),2)</f>
        <v>4.38</v>
      </c>
      <c r="R36" s="578">
        <v>3.5999999999999997E-2</v>
      </c>
      <c r="S36" s="579">
        <v>2.9000000000000001E-2</v>
      </c>
      <c r="T36" s="563">
        <f>ROUND(SQRT(U36^2+V36^2)*1000/(SQRT(3)*T$11),2)</f>
        <v>5.7</v>
      </c>
      <c r="U36" s="568">
        <v>5.0999999999999997E-2</v>
      </c>
      <c r="V36" s="569">
        <v>3.2000000000000001E-2</v>
      </c>
      <c r="W36" s="563">
        <f>ROUND(SQRT(X36^2+Y36^2)*1000/(SQRT(3)*W$11),2)</f>
        <v>4.74</v>
      </c>
      <c r="X36" s="568">
        <v>4.3999999999999997E-2</v>
      </c>
      <c r="Y36" s="569">
        <v>2.4E-2</v>
      </c>
      <c r="Z36" s="563">
        <f>ROUND(SQRT(AA36^2+AB36^2)*1000/(SQRT(3)*Z$11),2)</f>
        <v>3.96</v>
      </c>
      <c r="AA36" s="578">
        <v>3.2000000000000001E-2</v>
      </c>
      <c r="AB36" s="579">
        <v>2.7E-2</v>
      </c>
      <c r="AC36" s="563">
        <f>ROUND(SQRT(AD36^2+AE36^2)*1000/(SQRT(3)*AC$11),2)</f>
        <v>3.5</v>
      </c>
      <c r="AD36" s="568">
        <v>2.9000000000000001E-2</v>
      </c>
      <c r="AE36" s="569">
        <v>2.3E-2</v>
      </c>
      <c r="AF36" s="563">
        <f>ROUND(SQRT(AG36^2+AH36^2)*1000/(SQRT(3)*AF$11),2)</f>
        <v>6.38</v>
      </c>
      <c r="AG36" s="578">
        <v>4.3999999999999997E-2</v>
      </c>
      <c r="AH36" s="579">
        <v>5.0999999999999997E-2</v>
      </c>
      <c r="AI36" s="563">
        <f>ROUND(SQRT(AJ36^2+AK36^2)*1000/(SQRT(3)*AI$11),2)</f>
        <v>6.66</v>
      </c>
      <c r="AJ36" s="568">
        <v>6.5000000000000002E-2</v>
      </c>
      <c r="AK36" s="569">
        <v>2.7E-2</v>
      </c>
      <c r="AL36" s="563">
        <f>ROUND(SQRT(AM36^2+AN36^2)*1000/(SQRT(3)*AL$11),2)</f>
        <v>7.15</v>
      </c>
      <c r="AM36" s="568">
        <v>6.8000000000000005E-2</v>
      </c>
      <c r="AN36" s="569">
        <v>3.3000000000000002E-2</v>
      </c>
      <c r="AO36" s="563">
        <f>ROUND(SQRT(AP36^2+AQ36^2)*1000/(SQRT(3)*AO$11),2)</f>
        <v>6.69</v>
      </c>
      <c r="AP36" s="568">
        <v>6.2E-2</v>
      </c>
      <c r="AQ36" s="569">
        <v>3.4000000000000002E-2</v>
      </c>
      <c r="AR36" s="563">
        <f>ROUND(SQRT(AS36^2+AT36^2)*1000/(SQRT(3)*AR$11),2)</f>
        <v>11.1</v>
      </c>
      <c r="AS36" s="568">
        <v>5.6000000000000001E-2</v>
      </c>
      <c r="AT36" s="569">
        <v>0.10299999999999999</v>
      </c>
      <c r="AU36" s="563">
        <f>ROUND(SQRT(AV36^2+AW36^2)*1000/(SQRT(3)*AU$11),2)</f>
        <v>7.32</v>
      </c>
      <c r="AV36" s="578">
        <v>7.0000000000000007E-2</v>
      </c>
      <c r="AW36" s="579">
        <v>3.3000000000000002E-2</v>
      </c>
      <c r="AX36" s="563">
        <f>ROUND(SQRT(AY36^2+AZ36^2)*1000/(SQRT(3)*AX$11),2)</f>
        <v>10.69</v>
      </c>
      <c r="AY36" s="578">
        <v>4.3999999999999997E-2</v>
      </c>
      <c r="AZ36" s="579">
        <v>0.104</v>
      </c>
      <c r="BA36" s="563">
        <f>ROUND(SQRT(BB36^2+BC36^2)*1000/(SQRT(3)*BA$11),2)</f>
        <v>7.36</v>
      </c>
      <c r="BB36" s="578">
        <v>6.2E-2</v>
      </c>
      <c r="BC36" s="579">
        <v>4.7E-2</v>
      </c>
      <c r="BD36" s="563">
        <f>ROUND(SQRT(BE36^2+BF36^2)*1000/(SQRT(3)*BD$11),2)</f>
        <v>7.54</v>
      </c>
      <c r="BE36" s="578">
        <v>6.5000000000000002E-2</v>
      </c>
      <c r="BF36" s="579">
        <v>4.5999999999999999E-2</v>
      </c>
      <c r="BG36" s="563">
        <f>ROUND(SQRT(BH36^2+BI36^2)*1000/(SQRT(3)*BG$11),2)</f>
        <v>10.09</v>
      </c>
      <c r="BH36" s="578">
        <v>4.2000000000000003E-2</v>
      </c>
      <c r="BI36" s="579">
        <v>9.8000000000000004E-2</v>
      </c>
      <c r="BJ36" s="563">
        <f>ROUND(SQRT(BK36^2+BL36^2)*1000/(SQRT(3)*BJ$11),2)</f>
        <v>5.8</v>
      </c>
      <c r="BK36" s="568">
        <v>5.0999999999999997E-2</v>
      </c>
      <c r="BL36" s="569">
        <v>3.4000000000000002E-2</v>
      </c>
      <c r="BM36" s="563">
        <f>ROUND(SQRT(BN36^2+BO36^2)*1000/(SQRT(3)*BM$11),2)</f>
        <v>6.82</v>
      </c>
      <c r="BN36" s="568">
        <v>5.7000000000000002E-2</v>
      </c>
      <c r="BO36" s="569">
        <v>4.3999999999999997E-2</v>
      </c>
      <c r="BP36" s="563">
        <f>ROUND(SQRT(BQ36^2+BR36^2)*1000/(SQRT(3)*BP$11),2)</f>
        <v>9.2899999999999991</v>
      </c>
      <c r="BQ36" s="568">
        <v>4.9000000000000002E-2</v>
      </c>
      <c r="BR36" s="569">
        <v>8.5000000000000006E-2</v>
      </c>
      <c r="BS36" s="563">
        <f>ROUND(SQRT(BT36^2+BU36^2)*1000/(SQRT(3)*BS$11),2)</f>
        <v>6.7</v>
      </c>
      <c r="BT36" s="568">
        <v>6.0999999999999999E-2</v>
      </c>
      <c r="BU36" s="569">
        <v>3.5999999999999997E-2</v>
      </c>
      <c r="BV36" s="563">
        <f>ROUND(SQRT(BW36^2+BX36^2)*1000/(SQRT(3)*BV$11),2)</f>
        <v>8.59</v>
      </c>
      <c r="BW36" s="568">
        <v>5.8999999999999997E-2</v>
      </c>
      <c r="BX36" s="569">
        <v>6.9000000000000006E-2</v>
      </c>
      <c r="BY36" s="563">
        <f>ROUND(SQRT(BZ36^2+CA36^2)*1000/(SQRT(3)*BY$11),2)</f>
        <v>7.82</v>
      </c>
      <c r="BZ36" s="578">
        <v>4.7E-2</v>
      </c>
      <c r="CA36" s="579">
        <v>6.8000000000000005E-2</v>
      </c>
      <c r="CB36" s="570"/>
      <c r="CC36" s="570"/>
      <c r="CF36" s="530"/>
      <c r="CG36" s="530"/>
      <c r="CJ36" s="531"/>
    </row>
    <row r="37" spans="1:88" x14ac:dyDescent="0.2">
      <c r="A37" s="2363" t="s">
        <v>193</v>
      </c>
      <c r="B37" s="2364"/>
      <c r="C37" s="2365"/>
      <c r="D37" s="590"/>
      <c r="E37" s="591"/>
      <c r="F37" s="592"/>
      <c r="G37" s="593"/>
      <c r="H37" s="575">
        <f>ROUND(SQRT(I37^2+J37^2)*1000/(SQRT(3)*H$11),2)</f>
        <v>66.03</v>
      </c>
      <c r="I37" s="576">
        <v>0.66300000000000003</v>
      </c>
      <c r="J37" s="577">
        <v>0.217</v>
      </c>
      <c r="K37" s="575">
        <f>ROUND(SQRT(L37^2+M37^2)*1000/(SQRT(3)*K$11),2)</f>
        <v>65.88</v>
      </c>
      <c r="L37" s="576">
        <v>0.60399999999999998</v>
      </c>
      <c r="M37" s="577">
        <v>0.34599999999999997</v>
      </c>
      <c r="N37" s="575">
        <f>ROUND(SQRT(O37^2+P37^2)*1000/(SQRT(3)*N$11),2)</f>
        <v>60.11</v>
      </c>
      <c r="O37" s="566">
        <v>0.59</v>
      </c>
      <c r="P37" s="567">
        <v>0.23499999999999999</v>
      </c>
      <c r="Q37" s="575">
        <f>ROUND(SQRT(R37^2+S37^2)*1000/(SQRT(3)*Q$11),2)</f>
        <v>59.29</v>
      </c>
      <c r="R37" s="566">
        <v>0.54200000000000004</v>
      </c>
      <c r="S37" s="567">
        <v>0.314</v>
      </c>
      <c r="T37" s="575">
        <f>ROUND(SQRT(U37^2+V37^2)*1000/(SQRT(3)*T$11),2)</f>
        <v>55.14</v>
      </c>
      <c r="U37" s="566">
        <v>0.53700000000000003</v>
      </c>
      <c r="V37" s="567">
        <v>0.22600000000000001</v>
      </c>
      <c r="W37" s="575">
        <f>ROUND(SQRT(X37^2+Y37^2)*1000/(SQRT(3)*W$11),2)</f>
        <v>56.89</v>
      </c>
      <c r="X37" s="566">
        <v>0.54</v>
      </c>
      <c r="Y37" s="567">
        <v>0.26400000000000001</v>
      </c>
      <c r="Z37" s="575">
        <f>ROUND(SQRT(AA37^2+AB37^2)*1000/(SQRT(3)*Z$11),2)</f>
        <v>53.07</v>
      </c>
      <c r="AA37" s="566">
        <v>0.53500000000000003</v>
      </c>
      <c r="AB37" s="567">
        <v>0.16800000000000001</v>
      </c>
      <c r="AC37" s="575">
        <f>ROUND(SQRT(AD37^2+AE37^2)*1000/(SQRT(3)*AC$11),2)</f>
        <v>65.650000000000006</v>
      </c>
      <c r="AD37" s="566">
        <v>0.64500000000000002</v>
      </c>
      <c r="AE37" s="567">
        <v>0.255</v>
      </c>
      <c r="AF37" s="575">
        <f>ROUND(SQRT(AG37^2+AH37^2)*1000/(SQRT(3)*AF$11),2)</f>
        <v>69.41</v>
      </c>
      <c r="AG37" s="566">
        <v>0.68799999999999994</v>
      </c>
      <c r="AH37" s="567">
        <v>0.254</v>
      </c>
      <c r="AI37" s="575">
        <f>ROUND(SQRT(AJ37^2+AK37^2)*1000/(SQRT(3)*AI$11),2)</f>
        <v>78.87</v>
      </c>
      <c r="AJ37" s="566">
        <v>0.77700000000000002</v>
      </c>
      <c r="AK37" s="567">
        <v>0.30099999999999999</v>
      </c>
      <c r="AL37" s="575">
        <f>ROUND(SQRT(AM37^2+AN37^2)*1000/(SQRT(3)*AL$11),2)</f>
        <v>87.1</v>
      </c>
      <c r="AM37" s="566">
        <v>0.84899999999999998</v>
      </c>
      <c r="AN37" s="567">
        <v>0.35499999999999998</v>
      </c>
      <c r="AO37" s="575">
        <f>ROUND(SQRT(AP37^2+AQ37^2)*1000/(SQRT(3)*AO$11),2)</f>
        <v>85.16</v>
      </c>
      <c r="AP37" s="578">
        <v>0.83299999999999996</v>
      </c>
      <c r="AQ37" s="579">
        <v>0.34</v>
      </c>
      <c r="AR37" s="575">
        <f>ROUND(SQRT(AS37^2+AT37^2)*1000/(SQRT(3)*AR$11),2)</f>
        <v>97.64</v>
      </c>
      <c r="AS37" s="578">
        <v>0.89500000000000002</v>
      </c>
      <c r="AT37" s="579">
        <v>0.51300000000000001</v>
      </c>
      <c r="AU37" s="575">
        <f>ROUND(SQRT(AV37^2+AW37^2)*1000/(SQRT(3)*AU$11),2)</f>
        <v>93.69</v>
      </c>
      <c r="AV37" s="578">
        <v>0.89400000000000002</v>
      </c>
      <c r="AW37" s="579">
        <v>0.42499999999999999</v>
      </c>
      <c r="AX37" s="575">
        <f>ROUND(SQRT(AY37^2+AZ37^2)*1000/(SQRT(3)*AX$11),2)</f>
        <v>98.71</v>
      </c>
      <c r="AY37" s="578">
        <v>0.90400000000000003</v>
      </c>
      <c r="AZ37" s="579">
        <v>0.52</v>
      </c>
      <c r="BA37" s="575">
        <f>ROUND(SQRT(BB37^2+BC37^2)*1000/(SQRT(3)*BA$11),2)</f>
        <v>91.47</v>
      </c>
      <c r="BB37" s="578">
        <v>0.84499999999999997</v>
      </c>
      <c r="BC37" s="579">
        <v>0.46899999999999997</v>
      </c>
      <c r="BD37" s="575">
        <f>ROUND(SQRT(BE37^2+BF37^2)*1000/(SQRT(3)*BD$11),2)</f>
        <v>87.32</v>
      </c>
      <c r="BE37" s="566">
        <v>0.77400000000000002</v>
      </c>
      <c r="BF37" s="567">
        <v>0.502</v>
      </c>
      <c r="BG37" s="575">
        <f>ROUND(SQRT(BH37^2+BI37^2)*1000/(SQRT(3)*BG$11),2)</f>
        <v>87.02</v>
      </c>
      <c r="BH37" s="566">
        <v>0.77800000000000002</v>
      </c>
      <c r="BI37" s="567">
        <v>0.49</v>
      </c>
      <c r="BJ37" s="575">
        <f>ROUND(SQRT(BK37^2+BL37^2)*1000/(SQRT(3)*BJ$11),2)</f>
        <v>88.28</v>
      </c>
      <c r="BK37" s="566">
        <v>0.77700000000000002</v>
      </c>
      <c r="BL37" s="567">
        <v>0.51600000000000001</v>
      </c>
      <c r="BM37" s="575">
        <f>ROUND(SQRT(BN37^2+BO37^2)*1000/(SQRT(3)*BM$11),2)</f>
        <v>90.04</v>
      </c>
      <c r="BN37" s="566">
        <v>0.81899999999999995</v>
      </c>
      <c r="BO37" s="567">
        <v>0.48399999999999999</v>
      </c>
      <c r="BP37" s="575">
        <f>ROUND(SQRT(BQ37^2+BR37^2)*1000/(SQRT(3)*BP$11),2)</f>
        <v>89.1</v>
      </c>
      <c r="BQ37" s="578">
        <v>0.81799999999999995</v>
      </c>
      <c r="BR37" s="579">
        <v>0.46600000000000003</v>
      </c>
      <c r="BS37" s="575">
        <f>ROUND(SQRT(BT37^2+BU37^2)*1000/(SQRT(3)*BS$11),2)</f>
        <v>85.21</v>
      </c>
      <c r="BT37" s="566">
        <v>0.76600000000000001</v>
      </c>
      <c r="BU37" s="567">
        <v>0.47299999999999998</v>
      </c>
      <c r="BV37" s="575">
        <f>ROUND(SQRT(BW37^2+BX37^2)*1000/(SQRT(3)*BV$11),2)</f>
        <v>82.55</v>
      </c>
      <c r="BW37" s="566">
        <v>0.76600000000000001</v>
      </c>
      <c r="BX37" s="567">
        <v>0.41699999999999998</v>
      </c>
      <c r="BY37" s="575">
        <f>ROUND(SQRT(BZ37^2+CA37^2)*1000/(SQRT(3)*BY$11),2)</f>
        <v>93.34</v>
      </c>
      <c r="BZ37" s="566">
        <v>0.71799999999999997</v>
      </c>
      <c r="CA37" s="567">
        <v>0.67600000000000005</v>
      </c>
      <c r="CB37" s="570"/>
      <c r="CC37" s="570"/>
      <c r="CF37" s="530"/>
      <c r="CG37" s="530"/>
      <c r="CJ37" s="531"/>
    </row>
    <row r="38" spans="1:88" x14ac:dyDescent="0.2">
      <c r="A38" s="2363" t="s">
        <v>194</v>
      </c>
      <c r="B38" s="2364"/>
      <c r="C38" s="2365"/>
      <c r="D38" s="590"/>
      <c r="E38" s="591"/>
      <c r="F38" s="592"/>
      <c r="G38" s="593"/>
      <c r="H38" s="575">
        <f>ROUND(SQRT(I38^2+J38^2)*1000/(SQRT(3)*H$11),2)</f>
        <v>66.930000000000007</v>
      </c>
      <c r="I38" s="576">
        <v>0.61899999999999999</v>
      </c>
      <c r="J38" s="577">
        <v>0.34200000000000003</v>
      </c>
      <c r="K38" s="575">
        <f>ROUND(SQRT(L38^2+M38^2)*1000/(SQRT(3)*K$11),2)</f>
        <v>63.07</v>
      </c>
      <c r="L38" s="576">
        <v>0.629</v>
      </c>
      <c r="M38" s="577">
        <v>0.22</v>
      </c>
      <c r="N38" s="575">
        <f>ROUND(SQRT(O38^2+P38^2)*1000/(SQRT(3)*N$11),2)</f>
        <v>57.31</v>
      </c>
      <c r="O38" s="566">
        <v>0.55800000000000005</v>
      </c>
      <c r="P38" s="567">
        <v>0.23499999999999999</v>
      </c>
      <c r="Q38" s="575">
        <f>ROUND(SQRT(R38^2+S38^2)*1000/(SQRT(3)*Q$11),2)</f>
        <v>55.17</v>
      </c>
      <c r="R38" s="566">
        <v>0.54600000000000004</v>
      </c>
      <c r="S38" s="567">
        <v>0.20399999999999999</v>
      </c>
      <c r="T38" s="575">
        <f>ROUND(SQRT(U38^2+V38^2)*1000/(SQRT(3)*T$11),2)</f>
        <v>52.97</v>
      </c>
      <c r="U38" s="566">
        <v>0.51200000000000001</v>
      </c>
      <c r="V38" s="567">
        <v>0.22600000000000001</v>
      </c>
      <c r="W38" s="575">
        <f>ROUND(SQRT(X38^2+Y38^2)*1000/(SQRT(3)*W$11),2)</f>
        <v>54.44</v>
      </c>
      <c r="X38" s="566">
        <v>0.51100000000000001</v>
      </c>
      <c r="Y38" s="567">
        <v>0.26400000000000001</v>
      </c>
      <c r="Z38" s="575">
        <f>ROUND(SQRT(AA38^2+AB38^2)*1000/(SQRT(3)*Z$11),2)</f>
        <v>62.37</v>
      </c>
      <c r="AA38" s="566">
        <v>0.55200000000000005</v>
      </c>
      <c r="AB38" s="567">
        <v>0.36</v>
      </c>
      <c r="AC38" s="575">
        <f>ROUND(SQRT(AD38^2+AE38^2)*1000/(SQRT(3)*AC$11),2)</f>
        <v>58.64</v>
      </c>
      <c r="AD38" s="566">
        <v>0.54100000000000004</v>
      </c>
      <c r="AE38" s="567">
        <v>0.30199999999999999</v>
      </c>
      <c r="AF38" s="575">
        <f>ROUND(SQRT(AG38^2+AH38^2)*1000/(SQRT(3)*AF$11),2)</f>
        <v>64.73</v>
      </c>
      <c r="AG38" s="566">
        <v>0.59899999999999998</v>
      </c>
      <c r="AH38" s="567">
        <v>0.33</v>
      </c>
      <c r="AI38" s="575">
        <f>ROUND(SQRT(AJ38^2+AK38^2)*1000/(SQRT(3)*AI$11),2)</f>
        <v>70.73</v>
      </c>
      <c r="AJ38" s="566">
        <v>0.65700000000000003</v>
      </c>
      <c r="AK38" s="567">
        <v>0.35599999999999998</v>
      </c>
      <c r="AL38" s="575">
        <f>ROUND(SQRT(AM38^2+AN38^2)*1000/(SQRT(3)*AL$11),2)</f>
        <v>77.599999999999994</v>
      </c>
      <c r="AM38" s="566">
        <v>0.73899999999999999</v>
      </c>
      <c r="AN38" s="567">
        <v>0.35499999999999998</v>
      </c>
      <c r="AO38" s="575">
        <f>ROUND(SQRT(AP38^2+AQ38^2)*1000/(SQRT(3)*AO$11),2)</f>
        <v>82.24</v>
      </c>
      <c r="AP38" s="566">
        <v>0.75900000000000001</v>
      </c>
      <c r="AQ38" s="567">
        <v>0.42299999999999999</v>
      </c>
      <c r="AR38" s="575">
        <f>ROUND(SQRT(AS38^2+AT38^2)*1000/(SQRT(3)*AR$11),2)</f>
        <v>77.59</v>
      </c>
      <c r="AS38" s="566">
        <v>0.745</v>
      </c>
      <c r="AT38" s="567">
        <v>0.34200000000000003</v>
      </c>
      <c r="AU38" s="575">
        <f>ROUND(SQRT(AV38^2+AW38^2)*1000/(SQRT(3)*AU$11),2)</f>
        <v>76.069999999999993</v>
      </c>
      <c r="AV38" s="566">
        <v>0.72399999999999998</v>
      </c>
      <c r="AW38" s="567">
        <v>0.34899999999999998</v>
      </c>
      <c r="AX38" s="575">
        <f>ROUND(SQRT(AY38^2+AZ38^2)*1000/(SQRT(3)*AX$11),2)</f>
        <v>80.8</v>
      </c>
      <c r="AY38" s="566">
        <v>0.78</v>
      </c>
      <c r="AZ38" s="567">
        <v>0.34699999999999998</v>
      </c>
      <c r="BA38" s="575">
        <f>ROUND(SQRT(BB38^2+BC38^2)*1000/(SQRT(3)*BA$11),2)</f>
        <v>82.2</v>
      </c>
      <c r="BB38" s="566">
        <v>0.75</v>
      </c>
      <c r="BC38" s="567">
        <v>0.438</v>
      </c>
      <c r="BD38" s="575">
        <f>ROUND(SQRT(BE38^2+BF38^2)*1000/(SQRT(3)*BD$11),2)</f>
        <v>78.95</v>
      </c>
      <c r="BE38" s="566">
        <v>0.75</v>
      </c>
      <c r="BF38" s="567">
        <v>0.36499999999999999</v>
      </c>
      <c r="BG38" s="575">
        <f>ROUND(SQRT(BH38^2+BI38^2)*1000/(SQRT(3)*BG$11),2)</f>
        <v>81.150000000000006</v>
      </c>
      <c r="BH38" s="566">
        <v>0.79300000000000004</v>
      </c>
      <c r="BI38" s="567">
        <v>0.32600000000000001</v>
      </c>
      <c r="BJ38" s="575">
        <f>ROUND(SQRT(BK38^2+BL38^2)*1000/(SQRT(3)*BJ$11),2)</f>
        <v>84.16</v>
      </c>
      <c r="BK38" s="566">
        <v>0.78800000000000003</v>
      </c>
      <c r="BL38" s="567">
        <v>0.41199999999999998</v>
      </c>
      <c r="BM38" s="575">
        <f>ROUND(SQRT(BN38^2+BO38^2)*1000/(SQRT(3)*BM$11),2)</f>
        <v>81.94</v>
      </c>
      <c r="BN38" s="566">
        <v>0.76200000000000001</v>
      </c>
      <c r="BO38" s="567">
        <v>0.41099999999999998</v>
      </c>
      <c r="BP38" s="575">
        <f>ROUND(SQRT(BQ38^2+BR38^2)*1000/(SQRT(3)*BP$11),2)</f>
        <v>76.69</v>
      </c>
      <c r="BQ38" s="566">
        <v>0.73599999999999999</v>
      </c>
      <c r="BR38" s="567">
        <v>0.33900000000000002</v>
      </c>
      <c r="BS38" s="575">
        <f>ROUND(SQRT(BT38^2+BU38^2)*1000/(SQRT(3)*BS$11),2)</f>
        <v>80.09</v>
      </c>
      <c r="BT38" s="566">
        <v>0.752</v>
      </c>
      <c r="BU38" s="567">
        <v>0.38800000000000001</v>
      </c>
      <c r="BV38" s="575">
        <f>ROUND(SQRT(BW38^2+BX38^2)*1000/(SQRT(3)*BV$11),2)</f>
        <v>76.95</v>
      </c>
      <c r="BW38" s="566">
        <v>0.72399999999999998</v>
      </c>
      <c r="BX38" s="567">
        <v>0.37</v>
      </c>
      <c r="BY38" s="575">
        <f>ROUND(SQRT(BZ38^2+CA38^2)*1000/(SQRT(3)*BY$11),2)</f>
        <v>65.86</v>
      </c>
      <c r="BZ38" s="566">
        <v>0.69</v>
      </c>
      <c r="CA38" s="567">
        <v>0.09</v>
      </c>
      <c r="CB38" s="570"/>
      <c r="CC38" s="570"/>
      <c r="CF38" s="530"/>
      <c r="CG38" s="530"/>
    </row>
    <row r="39" spans="1:88" x14ac:dyDescent="0.2">
      <c r="A39" s="2363" t="s">
        <v>195</v>
      </c>
      <c r="B39" s="2364"/>
      <c r="C39" s="2365"/>
      <c r="D39" s="590"/>
      <c r="E39" s="591"/>
      <c r="F39" s="592"/>
      <c r="G39" s="593"/>
      <c r="H39" s="575">
        <f>ROUND(SQRT(I39^2+J39^2)*1000/(SQRT(3)*H$11),2)</f>
        <v>49.82</v>
      </c>
      <c r="I39" s="576">
        <v>0.47099999999999997</v>
      </c>
      <c r="J39" s="577">
        <v>0.23499999999999999</v>
      </c>
      <c r="K39" s="575">
        <f>ROUND(SQRT(L39^2+M39^2)*1000/(SQRT(3)*K$11),2)</f>
        <v>46.98</v>
      </c>
      <c r="L39" s="576">
        <v>0.45900000000000002</v>
      </c>
      <c r="M39" s="577">
        <v>0.189</v>
      </c>
      <c r="N39" s="575">
        <f>ROUND(SQRT(O39^2+P39^2)*1000/(SQRT(3)*N$11),2)</f>
        <v>45.3</v>
      </c>
      <c r="O39" s="578">
        <v>0.41699999999999998</v>
      </c>
      <c r="P39" s="579">
        <v>0.23499999999999999</v>
      </c>
      <c r="Q39" s="575">
        <f>ROUND(SQRT(R39^2+S39^2)*1000/(SQRT(3)*Q$11),2)</f>
        <v>43.43</v>
      </c>
      <c r="R39" s="566">
        <v>0.42699999999999999</v>
      </c>
      <c r="S39" s="567">
        <v>0.16800000000000001</v>
      </c>
      <c r="T39" s="575">
        <f>ROUND(SQRT(U39^2+V39^2)*1000/(SQRT(3)*T$11),2)</f>
        <v>44.26</v>
      </c>
      <c r="U39" s="566">
        <v>0.42599999999999999</v>
      </c>
      <c r="V39" s="567">
        <v>0.193</v>
      </c>
      <c r="W39" s="575">
        <f>ROUND(SQRT(X39^2+Y39^2)*1000/(SQRT(3)*W$11),2)</f>
        <v>41.13</v>
      </c>
      <c r="X39" s="566">
        <v>0.41</v>
      </c>
      <c r="Y39" s="567">
        <v>0.14399999999999999</v>
      </c>
      <c r="Z39" s="575">
        <f>ROUND(SQRT(AA39^2+AB39^2)*1000/(SQRT(3)*Z$11),2)</f>
        <v>37.67</v>
      </c>
      <c r="AA39" s="566">
        <v>0.371</v>
      </c>
      <c r="AB39" s="567">
        <v>0.14399999999999999</v>
      </c>
      <c r="AC39" s="575">
        <f>ROUND(SQRT(AD39^2+AE39^2)*1000/(SQRT(3)*AC$11),2)</f>
        <v>34.94</v>
      </c>
      <c r="AD39" s="566">
        <v>0.34200000000000003</v>
      </c>
      <c r="AE39" s="567">
        <v>0.13900000000000001</v>
      </c>
      <c r="AF39" s="575">
        <f>ROUND(SQRT(AG39^2+AH39^2)*1000/(SQRT(3)*AF$11),2)</f>
        <v>41.78</v>
      </c>
      <c r="AG39" s="566">
        <v>0.40400000000000003</v>
      </c>
      <c r="AH39" s="567">
        <v>0.17799999999999999</v>
      </c>
      <c r="AI39" s="575">
        <f>ROUND(SQRT(AJ39^2+AK39^2)*1000/(SQRT(3)*AI$11),2)</f>
        <v>46.35</v>
      </c>
      <c r="AJ39" s="566">
        <v>0.438</v>
      </c>
      <c r="AK39" s="567">
        <v>0.219</v>
      </c>
      <c r="AL39" s="575">
        <f>ROUND(SQRT(AM39^2+AN39^2)*1000/(SQRT(3)*AL$11),2)</f>
        <v>46.9</v>
      </c>
      <c r="AM39" s="566">
        <v>0.44500000000000001</v>
      </c>
      <c r="AN39" s="567">
        <v>0.218</v>
      </c>
      <c r="AO39" s="575">
        <f>ROUND(SQRT(AP39^2+AQ39^2)*1000/(SQRT(3)*AO$11),2)</f>
        <v>47.71</v>
      </c>
      <c r="AP39" s="566">
        <v>0.46100000000000002</v>
      </c>
      <c r="AQ39" s="567">
        <v>0.20399999999999999</v>
      </c>
      <c r="AR39" s="575">
        <f>ROUND(SQRT(AS39^2+AT39^2)*1000/(SQRT(3)*AR$11),2)</f>
        <v>44.46</v>
      </c>
      <c r="AS39" s="566">
        <v>0.46700000000000003</v>
      </c>
      <c r="AT39" s="567">
        <v>5.0999999999999997E-2</v>
      </c>
      <c r="AU39" s="575">
        <f>ROUND(SQRT(AV39^2+AW39^2)*1000/(SQRT(3)*AU$11),2)</f>
        <v>49.51</v>
      </c>
      <c r="AV39" s="566">
        <v>0.48499999999999999</v>
      </c>
      <c r="AW39" s="567">
        <v>0.19600000000000001</v>
      </c>
      <c r="AX39" s="575">
        <f>ROUND(SQRT(AY39^2+AZ39^2)*1000/(SQRT(3)*AX$11),2)</f>
        <v>45.32</v>
      </c>
      <c r="AY39" s="566">
        <v>0.47599999999999998</v>
      </c>
      <c r="AZ39" s="567">
        <v>5.1999999999999998E-2</v>
      </c>
      <c r="BA39" s="575">
        <f>ROUND(SQRT(BB39^2+BC39^2)*1000/(SQRT(3)*BA$11),2)</f>
        <v>45.27</v>
      </c>
      <c r="BB39" s="578">
        <v>0.47599999999999998</v>
      </c>
      <c r="BC39" s="579">
        <v>4.7E-2</v>
      </c>
      <c r="BD39" s="575">
        <f>ROUND(SQRT(BE39^2+BF39^2)*1000/(SQRT(3)*BD$11),2)</f>
        <v>44.13</v>
      </c>
      <c r="BE39" s="578">
        <v>0.46400000000000002</v>
      </c>
      <c r="BF39" s="579">
        <v>4.5999999999999999E-2</v>
      </c>
      <c r="BG39" s="575">
        <f>ROUND(SQRT(BH39^2+BI39^2)*1000/(SQRT(3)*BG$11),2)</f>
        <v>43.97</v>
      </c>
      <c r="BH39" s="578">
        <v>0.46200000000000002</v>
      </c>
      <c r="BI39" s="579">
        <v>4.9000000000000002E-2</v>
      </c>
      <c r="BJ39" s="575">
        <f>ROUND(SQRT(BK39^2+BL39^2)*1000/(SQRT(3)*BJ$11),2)</f>
        <v>44.98</v>
      </c>
      <c r="BK39" s="566">
        <v>0.47399999999999998</v>
      </c>
      <c r="BL39" s="567">
        <v>3.4000000000000002E-2</v>
      </c>
      <c r="BM39" s="575">
        <f>ROUND(SQRT(BN39^2+BO39^2)*1000/(SQRT(3)*BM$11),2)</f>
        <v>44.3</v>
      </c>
      <c r="BN39" s="566">
        <v>0.46600000000000003</v>
      </c>
      <c r="BO39" s="567">
        <v>4.3999999999999997E-2</v>
      </c>
      <c r="BP39" s="575">
        <f>ROUND(SQRT(BQ39^2+BR39^2)*1000/(SQRT(3)*BP$11),2)</f>
        <v>45.58</v>
      </c>
      <c r="BQ39" s="578">
        <v>0.47399999999999998</v>
      </c>
      <c r="BR39" s="579">
        <v>8.5000000000000006E-2</v>
      </c>
      <c r="BS39" s="575">
        <f>ROUND(SQRT(BT39^2+BU39^2)*1000/(SQRT(3)*BS$11),2)</f>
        <v>48.86</v>
      </c>
      <c r="BT39" s="566">
        <v>0.51500000000000001</v>
      </c>
      <c r="BU39" s="567">
        <v>3.5999999999999997E-2</v>
      </c>
      <c r="BV39" s="575">
        <f>ROUND(SQRT(BW39^2+BX39^2)*1000/(SQRT(3)*BV$11),2)</f>
        <v>48.15</v>
      </c>
      <c r="BW39" s="578">
        <v>0.504</v>
      </c>
      <c r="BX39" s="579">
        <v>6.9000000000000006E-2</v>
      </c>
      <c r="BY39" s="575">
        <f>ROUND(SQRT(BZ39^2+CA39^2)*1000/(SQRT(3)*BY$11),2)</f>
        <v>51.98</v>
      </c>
      <c r="BZ39" s="566">
        <v>0.54500000000000004</v>
      </c>
      <c r="CA39" s="567">
        <v>6.8000000000000005E-2</v>
      </c>
      <c r="CB39" s="570"/>
      <c r="CC39" s="570"/>
      <c r="CF39" s="530"/>
      <c r="CG39" s="530"/>
    </row>
    <row r="40" spans="1:88" x14ac:dyDescent="0.2">
      <c r="A40" s="2363" t="s">
        <v>196</v>
      </c>
      <c r="B40" s="2364"/>
      <c r="C40" s="2365"/>
      <c r="D40" s="590"/>
      <c r="E40" s="591"/>
      <c r="F40" s="592"/>
      <c r="G40" s="593"/>
      <c r="H40" s="575">
        <f>ROUND(SQRT(I40^2+J40^2)*1000/(SQRT(3)*H$11),2)</f>
        <v>6.82</v>
      </c>
      <c r="I40" s="594">
        <v>6.3E-2</v>
      </c>
      <c r="J40" s="595">
        <v>3.5000000000000003E-2</v>
      </c>
      <c r="K40" s="575">
        <f>ROUND(SQRT(L40^2+M40^2)*1000/(SQRT(3)*K$11),2)</f>
        <v>4.96</v>
      </c>
      <c r="L40" s="594">
        <v>3.9E-2</v>
      </c>
      <c r="M40" s="595">
        <v>3.5000000000000003E-2</v>
      </c>
      <c r="N40" s="575">
        <f>ROUND(SQRT(O40^2+P40^2)*1000/(SQRT(3)*N$11),2)</f>
        <v>6.36</v>
      </c>
      <c r="O40" s="566">
        <v>5.8000000000000003E-2</v>
      </c>
      <c r="P40" s="567">
        <v>3.4000000000000002E-2</v>
      </c>
      <c r="Q40" s="575">
        <f>ROUND(SQRT(R40^2+S40^2)*1000/(SQRT(3)*Q$11),2)</f>
        <v>5</v>
      </c>
      <c r="R40" s="578">
        <v>4.5999999999999999E-2</v>
      </c>
      <c r="S40" s="579">
        <v>2.5999999999999999E-2</v>
      </c>
      <c r="T40" s="575">
        <f>ROUND(SQRT(U40^2+V40^2)*1000/(SQRT(3)*T$11),2)</f>
        <v>6.43</v>
      </c>
      <c r="U40" s="578">
        <v>4.9000000000000002E-2</v>
      </c>
      <c r="V40" s="579">
        <v>4.7E-2</v>
      </c>
      <c r="W40" s="575">
        <f>ROUND(SQRT(X40^2+Y40^2)*1000/(SQRT(3)*W$11),2)</f>
        <v>5.42</v>
      </c>
      <c r="X40" s="578">
        <v>5.1999999999999998E-2</v>
      </c>
      <c r="Y40" s="579">
        <v>2.4E-2</v>
      </c>
      <c r="Z40" s="575">
        <f>ROUND(SQRT(AA40^2+AB40^2)*1000/(SQRT(3)*Z$11),2)</f>
        <v>6.2</v>
      </c>
      <c r="AA40" s="578">
        <v>6.0999999999999999E-2</v>
      </c>
      <c r="AB40" s="579">
        <v>2.4E-2</v>
      </c>
      <c r="AC40" s="575">
        <f>ROUND(SQRT(AD40^2+AE40^2)*1000/(SQRT(3)*AC$11),2)</f>
        <v>4.7</v>
      </c>
      <c r="AD40" s="578">
        <v>4.3999999999999997E-2</v>
      </c>
      <c r="AE40" s="579">
        <v>2.3E-2</v>
      </c>
      <c r="AF40" s="575">
        <f>ROUND(SQRT(AG40^2+AH40^2)*1000/(SQRT(3)*AF$11),2)</f>
        <v>6.95</v>
      </c>
      <c r="AG40" s="578">
        <v>6.9000000000000006E-2</v>
      </c>
      <c r="AH40" s="579">
        <v>2.5000000000000001E-2</v>
      </c>
      <c r="AI40" s="575">
        <f>ROUND(SQRT(AJ40^2+AK40^2)*1000/(SQRT(3)*AI$11),2)</f>
        <v>8.02</v>
      </c>
      <c r="AJ40" s="578">
        <v>7.2999999999999995E-2</v>
      </c>
      <c r="AK40" s="579">
        <v>4.2999999999999997E-2</v>
      </c>
      <c r="AL40" s="575">
        <f>ROUND(SQRT(AM40^2+AN40^2)*1000/(SQRT(3)*AL$11),2)</f>
        <v>7.99</v>
      </c>
      <c r="AM40" s="578">
        <v>6.4000000000000001E-2</v>
      </c>
      <c r="AN40" s="579">
        <v>5.5E-2</v>
      </c>
      <c r="AO40" s="575">
        <f>ROUND(SQRT(AP40^2+AQ40^2)*1000/(SQRT(3)*AO$11),2)</f>
        <v>7.88</v>
      </c>
      <c r="AP40" s="578">
        <v>7.5999999999999998E-2</v>
      </c>
      <c r="AQ40" s="579">
        <v>3.4000000000000002E-2</v>
      </c>
      <c r="AR40" s="575">
        <f>ROUND(SQRT(AS40^2+AT40^2)*1000/(SQRT(3)*AR$11),2)</f>
        <v>10.039999999999999</v>
      </c>
      <c r="AS40" s="578">
        <v>9.2999999999999999E-2</v>
      </c>
      <c r="AT40" s="579">
        <v>5.0999999999999997E-2</v>
      </c>
      <c r="AU40" s="575">
        <f>ROUND(SQRT(AV40^2+AW40^2)*1000/(SQRT(3)*AU$11),2)</f>
        <v>11.29</v>
      </c>
      <c r="AV40" s="578">
        <v>0.1</v>
      </c>
      <c r="AW40" s="579">
        <v>6.5000000000000002E-2</v>
      </c>
      <c r="AX40" s="575">
        <f>ROUND(SQRT(AY40^2+AZ40^2)*1000/(SQRT(3)*AX$11),2)</f>
        <v>9.19</v>
      </c>
      <c r="AY40" s="578">
        <v>8.2000000000000003E-2</v>
      </c>
      <c r="AZ40" s="579">
        <v>5.1999999999999998E-2</v>
      </c>
      <c r="BA40" s="575">
        <f>ROUND(SQRT(BB40^2+BC40^2)*1000/(SQRT(3)*BA$11),2)</f>
        <v>9.19</v>
      </c>
      <c r="BB40" s="578">
        <v>8.5000000000000006E-2</v>
      </c>
      <c r="BC40" s="579">
        <v>4.7E-2</v>
      </c>
      <c r="BD40" s="575">
        <f>ROUND(SQRT(BE40^2+BF40^2)*1000/(SQRT(3)*BD$11),2)</f>
        <v>9.15</v>
      </c>
      <c r="BE40" s="578">
        <v>8.5000000000000006E-2</v>
      </c>
      <c r="BF40" s="579">
        <v>4.5999999999999999E-2</v>
      </c>
      <c r="BG40" s="575">
        <f>ROUND(SQRT(BH40^2+BI40^2)*1000/(SQRT(3)*BG$11),2)</f>
        <v>8.9600000000000009</v>
      </c>
      <c r="BH40" s="578">
        <v>8.1000000000000003E-2</v>
      </c>
      <c r="BI40" s="579">
        <v>4.9000000000000002E-2</v>
      </c>
      <c r="BJ40" s="575">
        <f>ROUND(SQRT(BK40^2+BL40^2)*1000/(SQRT(3)*BJ$11),2)</f>
        <v>9.3699999999999992</v>
      </c>
      <c r="BK40" s="578">
        <v>9.2999999999999999E-2</v>
      </c>
      <c r="BL40" s="579">
        <v>3.4000000000000002E-2</v>
      </c>
      <c r="BM40" s="575">
        <f>ROUND(SQRT(BN40^2+BO40^2)*1000/(SQRT(3)*BM$11),2)</f>
        <v>8.89</v>
      </c>
      <c r="BN40" s="578">
        <v>8.3000000000000004E-2</v>
      </c>
      <c r="BO40" s="579">
        <v>4.3999999999999997E-2</v>
      </c>
      <c r="BP40" s="575">
        <f>ROUND(SQRT(BQ40^2+BR40^2)*1000/(SQRT(3)*BP$11),2)</f>
        <v>8.14</v>
      </c>
      <c r="BQ40" s="566">
        <v>7.4999999999999997E-2</v>
      </c>
      <c r="BR40" s="567">
        <v>4.2000000000000003E-2</v>
      </c>
      <c r="BS40" s="575">
        <f>ROUND(SQRT(BT40^2+BU40^2)*1000/(SQRT(3)*BS$11),2)</f>
        <v>8.32</v>
      </c>
      <c r="BT40" s="566">
        <v>4.9000000000000002E-2</v>
      </c>
      <c r="BU40" s="567">
        <v>7.2999999999999995E-2</v>
      </c>
      <c r="BV40" s="575">
        <f>ROUND(SQRT(BW40^2+BX40^2)*1000/(SQRT(3)*BV$11),2)</f>
        <v>9.24</v>
      </c>
      <c r="BW40" s="566">
        <v>6.9000000000000006E-2</v>
      </c>
      <c r="BX40" s="567">
        <v>6.9000000000000006E-2</v>
      </c>
      <c r="BY40" s="575">
        <f>ROUND(SQRT(BZ40^2+CA40^2)*1000/(SQRT(3)*BY$11),2)</f>
        <v>9.17</v>
      </c>
      <c r="BZ40" s="578">
        <v>6.9000000000000006E-2</v>
      </c>
      <c r="CA40" s="579">
        <v>6.8000000000000005E-2</v>
      </c>
      <c r="CB40" s="570"/>
      <c r="CC40" s="570"/>
      <c r="CF40" s="530"/>
      <c r="CG40" s="530"/>
    </row>
    <row r="41" spans="1:88" s="589" customFormat="1" ht="13.5" thickBot="1" x14ac:dyDescent="0.25">
      <c r="A41" s="2369" t="s">
        <v>197</v>
      </c>
      <c r="B41" s="2370"/>
      <c r="C41" s="2371"/>
      <c r="D41" s="583"/>
      <c r="E41" s="584"/>
      <c r="F41" s="584"/>
      <c r="G41" s="585"/>
      <c r="H41" s="596">
        <f>SUM(H36:H40)</f>
        <v>196.55</v>
      </c>
      <c r="I41" s="587">
        <f>SUM(I36:I40)</f>
        <v>1.8739999999999999</v>
      </c>
      <c r="J41" s="588">
        <f>SUM(J36:J40)</f>
        <v>0.87400000000000011</v>
      </c>
      <c r="K41" s="596">
        <f t="shared" ref="K41:BV41" si="1">SUM(K36:K40)</f>
        <v>185.60999999999999</v>
      </c>
      <c r="L41" s="587">
        <f t="shared" si="1"/>
        <v>1.77</v>
      </c>
      <c r="M41" s="588">
        <f t="shared" si="1"/>
        <v>0.82100000000000006</v>
      </c>
      <c r="N41" s="596">
        <f t="shared" si="1"/>
        <v>173.98000000000002</v>
      </c>
      <c r="O41" s="587">
        <f t="shared" si="1"/>
        <v>1.6620000000000001</v>
      </c>
      <c r="P41" s="588">
        <f t="shared" si="1"/>
        <v>0.77300000000000002</v>
      </c>
      <c r="Q41" s="596">
        <f t="shared" si="1"/>
        <v>167.27</v>
      </c>
      <c r="R41" s="587">
        <f t="shared" si="1"/>
        <v>1.5970000000000002</v>
      </c>
      <c r="S41" s="588">
        <f t="shared" si="1"/>
        <v>0.7410000000000001</v>
      </c>
      <c r="T41" s="596">
        <f t="shared" si="1"/>
        <v>164.5</v>
      </c>
      <c r="U41" s="587">
        <f t="shared" si="1"/>
        <v>1.575</v>
      </c>
      <c r="V41" s="588">
        <f t="shared" si="1"/>
        <v>0.72400000000000009</v>
      </c>
      <c r="W41" s="596">
        <f t="shared" si="1"/>
        <v>162.61999999999998</v>
      </c>
      <c r="X41" s="587">
        <f t="shared" si="1"/>
        <v>1.5570000000000002</v>
      </c>
      <c r="Y41" s="588">
        <f t="shared" si="1"/>
        <v>0.72000000000000008</v>
      </c>
      <c r="Z41" s="596">
        <f t="shared" si="1"/>
        <v>163.26999999999998</v>
      </c>
      <c r="AA41" s="587">
        <f t="shared" si="1"/>
        <v>1.5510000000000002</v>
      </c>
      <c r="AB41" s="588">
        <f t="shared" si="1"/>
        <v>0.72299999999999998</v>
      </c>
      <c r="AC41" s="596">
        <f t="shared" si="1"/>
        <v>167.43</v>
      </c>
      <c r="AD41" s="587">
        <f t="shared" si="1"/>
        <v>1.6010000000000002</v>
      </c>
      <c r="AE41" s="588">
        <f t="shared" si="1"/>
        <v>0.7420000000000001</v>
      </c>
      <c r="AF41" s="596">
        <f t="shared" si="1"/>
        <v>189.24999999999997</v>
      </c>
      <c r="AG41" s="587">
        <f t="shared" si="1"/>
        <v>1.8039999999999998</v>
      </c>
      <c r="AH41" s="588">
        <f t="shared" si="1"/>
        <v>0.83799999999999997</v>
      </c>
      <c r="AI41" s="596">
        <f t="shared" si="1"/>
        <v>210.63</v>
      </c>
      <c r="AJ41" s="587">
        <f t="shared" si="1"/>
        <v>2.0100000000000002</v>
      </c>
      <c r="AK41" s="588">
        <f t="shared" si="1"/>
        <v>0.94599999999999995</v>
      </c>
      <c r="AL41" s="596">
        <f t="shared" si="1"/>
        <v>226.74</v>
      </c>
      <c r="AM41" s="587">
        <f t="shared" si="1"/>
        <v>2.165</v>
      </c>
      <c r="AN41" s="588">
        <f t="shared" si="1"/>
        <v>1.016</v>
      </c>
      <c r="AO41" s="596">
        <f t="shared" si="1"/>
        <v>229.67999999999998</v>
      </c>
      <c r="AP41" s="587">
        <f t="shared" si="1"/>
        <v>2.1909999999999998</v>
      </c>
      <c r="AQ41" s="588">
        <f t="shared" si="1"/>
        <v>1.0349999999999999</v>
      </c>
      <c r="AR41" s="596">
        <f t="shared" si="1"/>
        <v>240.82999999999998</v>
      </c>
      <c r="AS41" s="587">
        <f t="shared" si="1"/>
        <v>2.2560000000000002</v>
      </c>
      <c r="AT41" s="588">
        <f t="shared" si="1"/>
        <v>1.0599999999999998</v>
      </c>
      <c r="AU41" s="596">
        <f t="shared" si="1"/>
        <v>237.87999999999997</v>
      </c>
      <c r="AV41" s="587">
        <f t="shared" si="1"/>
        <v>2.2730000000000001</v>
      </c>
      <c r="AW41" s="588">
        <f t="shared" si="1"/>
        <v>1.0679999999999998</v>
      </c>
      <c r="AX41" s="596">
        <f t="shared" si="1"/>
        <v>244.70999999999998</v>
      </c>
      <c r="AY41" s="587">
        <f t="shared" si="1"/>
        <v>2.286</v>
      </c>
      <c r="AZ41" s="588">
        <f t="shared" si="1"/>
        <v>1.075</v>
      </c>
      <c r="BA41" s="596">
        <f t="shared" si="1"/>
        <v>235.49</v>
      </c>
      <c r="BB41" s="587">
        <f t="shared" si="1"/>
        <v>2.218</v>
      </c>
      <c r="BC41" s="588">
        <f t="shared" si="1"/>
        <v>1.0479999999999998</v>
      </c>
      <c r="BD41" s="596">
        <f t="shared" si="1"/>
        <v>227.09</v>
      </c>
      <c r="BE41" s="587">
        <f t="shared" si="1"/>
        <v>2.1379999999999999</v>
      </c>
      <c r="BF41" s="588">
        <f t="shared" si="1"/>
        <v>1.0050000000000001</v>
      </c>
      <c r="BG41" s="596">
        <f t="shared" si="1"/>
        <v>231.19</v>
      </c>
      <c r="BH41" s="587">
        <f t="shared" si="1"/>
        <v>2.1560000000000001</v>
      </c>
      <c r="BI41" s="588">
        <f t="shared" si="1"/>
        <v>1.012</v>
      </c>
      <c r="BJ41" s="596">
        <f t="shared" si="1"/>
        <v>232.59</v>
      </c>
      <c r="BK41" s="587">
        <f t="shared" si="1"/>
        <v>2.1829999999999998</v>
      </c>
      <c r="BL41" s="588">
        <f t="shared" si="1"/>
        <v>1.03</v>
      </c>
      <c r="BM41" s="596">
        <f t="shared" si="1"/>
        <v>231.99</v>
      </c>
      <c r="BN41" s="587">
        <f t="shared" si="1"/>
        <v>2.1870000000000003</v>
      </c>
      <c r="BO41" s="588">
        <f t="shared" si="1"/>
        <v>1.0270000000000001</v>
      </c>
      <c r="BP41" s="596">
        <f t="shared" si="1"/>
        <v>228.79999999999995</v>
      </c>
      <c r="BQ41" s="587">
        <f t="shared" si="1"/>
        <v>2.1520000000000001</v>
      </c>
      <c r="BR41" s="588">
        <f t="shared" si="1"/>
        <v>1.0170000000000001</v>
      </c>
      <c r="BS41" s="596">
        <f t="shared" si="1"/>
        <v>229.18</v>
      </c>
      <c r="BT41" s="587">
        <f t="shared" si="1"/>
        <v>2.1429999999999998</v>
      </c>
      <c r="BU41" s="588">
        <f t="shared" si="1"/>
        <v>1.006</v>
      </c>
      <c r="BV41" s="596">
        <f t="shared" si="1"/>
        <v>225.48000000000002</v>
      </c>
      <c r="BW41" s="587">
        <f>SUM(BW36:BW40)</f>
        <v>2.1219999999999999</v>
      </c>
      <c r="BX41" s="588">
        <f>SUM(BX36:BX40)</f>
        <v>0.99399999999999999</v>
      </c>
      <c r="BY41" s="596">
        <f>SUM(BY36:BY40)</f>
        <v>228.16999999999996</v>
      </c>
      <c r="BZ41" s="587">
        <f>SUM(BZ36:BZ40)</f>
        <v>2.069</v>
      </c>
      <c r="CA41" s="588">
        <f>SUM(CA36:CA40)</f>
        <v>0.97</v>
      </c>
      <c r="CB41" s="515">
        <f>SUM(BZ41,BW41,BT41,BQ41,BN41,BK41,BH41,BE41,BB41,AY41,AV41,AS41,AP41,AM41,AJ41,AG41,AD41,AA41,X41,U41,R41,O41,L41,I41)</f>
        <v>47.540000000000013</v>
      </c>
      <c r="CC41" s="515">
        <f>SUM(CA41,BX41,BU41,BR41,BO41,BL41,BI41,BF41,BC41,AZ41,AW41,AT41,AQ41,AN41,AK41,AH41,AE41,AB41,Y41,V41,S41,P41,M41,J41)</f>
        <v>22.265000000000001</v>
      </c>
    </row>
    <row r="42" spans="1:88" x14ac:dyDescent="0.2">
      <c r="I42" s="517"/>
      <c r="L42" s="517"/>
      <c r="O42" s="517"/>
      <c r="R42" s="517"/>
      <c r="U42" s="517"/>
      <c r="X42" s="517"/>
      <c r="AA42" s="517"/>
      <c r="AD42" s="517"/>
      <c r="AG42" s="517"/>
      <c r="AJ42" s="517"/>
      <c r="AM42" s="517"/>
      <c r="AP42" s="517"/>
      <c r="AS42" s="517"/>
      <c r="AV42" s="517"/>
      <c r="AY42" s="517"/>
      <c r="BB42" s="517"/>
      <c r="BE42" s="517"/>
      <c r="BH42" s="517"/>
      <c r="BK42" s="517"/>
      <c r="BN42" s="517"/>
      <c r="BQ42" s="517"/>
      <c r="BT42" s="517"/>
      <c r="BW42" s="517"/>
      <c r="BZ42" s="517"/>
    </row>
    <row r="43" spans="1:88" x14ac:dyDescent="0.2">
      <c r="H43" s="2405"/>
      <c r="I43" s="2405"/>
      <c r="J43" s="2405"/>
    </row>
    <row r="44" spans="1:88" x14ac:dyDescent="0.2">
      <c r="H44" s="597"/>
      <c r="I44" s="598"/>
      <c r="J44" s="598"/>
    </row>
    <row r="45" spans="1:88" x14ac:dyDescent="0.2">
      <c r="H45" s="2405"/>
      <c r="I45" s="2405"/>
      <c r="J45" s="2405"/>
    </row>
  </sheetData>
  <mergeCells count="325">
    <mergeCell ref="A34:C34"/>
    <mergeCell ref="A35:C35"/>
    <mergeCell ref="A36:C36"/>
    <mergeCell ref="H45:J45"/>
    <mergeCell ref="A37:C37"/>
    <mergeCell ref="A38:C38"/>
    <mergeCell ref="A39:C39"/>
    <mergeCell ref="A40:C40"/>
    <mergeCell ref="A41:C41"/>
    <mergeCell ref="H43:J43"/>
    <mergeCell ref="E27:F27"/>
    <mergeCell ref="E28:F28"/>
    <mergeCell ref="A29:C29"/>
    <mergeCell ref="D29:E29"/>
    <mergeCell ref="F29:G29"/>
    <mergeCell ref="A30:C30"/>
    <mergeCell ref="A31:C31"/>
    <mergeCell ref="A32:C32"/>
    <mergeCell ref="A33:C33"/>
    <mergeCell ref="AO24:AQ24"/>
    <mergeCell ref="AR24:AT24"/>
    <mergeCell ref="BM24:BO24"/>
    <mergeCell ref="BP24:BR24"/>
    <mergeCell ref="BS24:BU24"/>
    <mergeCell ref="BV24:BX24"/>
    <mergeCell ref="BY24:CA24"/>
    <mergeCell ref="A25:C26"/>
    <mergeCell ref="D25:G25"/>
    <mergeCell ref="D26:G26"/>
    <mergeCell ref="AU24:AW24"/>
    <mergeCell ref="AX24:AZ24"/>
    <mergeCell ref="BS22:BU22"/>
    <mergeCell ref="BV22:BX22"/>
    <mergeCell ref="BY22:CA22"/>
    <mergeCell ref="CB22:CD22"/>
    <mergeCell ref="A23:B24"/>
    <mergeCell ref="C23:C24"/>
    <mergeCell ref="D23:E23"/>
    <mergeCell ref="F23:G24"/>
    <mergeCell ref="D24:E24"/>
    <mergeCell ref="H24:J24"/>
    <mergeCell ref="K24:M24"/>
    <mergeCell ref="N24:P24"/>
    <mergeCell ref="Q24:S24"/>
    <mergeCell ref="T24:V24"/>
    <mergeCell ref="W24:Y24"/>
    <mergeCell ref="Z24:AB24"/>
    <mergeCell ref="BA24:BC24"/>
    <mergeCell ref="BD24:BF24"/>
    <mergeCell ref="BG24:BI24"/>
    <mergeCell ref="BJ24:BL24"/>
    <mergeCell ref="AC24:AE24"/>
    <mergeCell ref="AF24:AH24"/>
    <mergeCell ref="AI24:AK24"/>
    <mergeCell ref="AL24:AN24"/>
    <mergeCell ref="AR22:AT22"/>
    <mergeCell ref="AU22:AW22"/>
    <mergeCell ref="AX22:AZ22"/>
    <mergeCell ref="BA22:BC22"/>
    <mergeCell ref="BD22:BF22"/>
    <mergeCell ref="BG22:BI22"/>
    <mergeCell ref="BJ22:BL22"/>
    <mergeCell ref="BM22:BO22"/>
    <mergeCell ref="BP22:BR22"/>
    <mergeCell ref="BG20:BI20"/>
    <mergeCell ref="BJ20:BL20"/>
    <mergeCell ref="BM20:BO20"/>
    <mergeCell ref="BP20:BR20"/>
    <mergeCell ref="BS20:BU20"/>
    <mergeCell ref="BV20:BX20"/>
    <mergeCell ref="BY20:CA20"/>
    <mergeCell ref="A21:B22"/>
    <mergeCell ref="C21:C22"/>
    <mergeCell ref="D21:E21"/>
    <mergeCell ref="F21:G22"/>
    <mergeCell ref="D22:E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BJ19:BL19"/>
    <mergeCell ref="BM19:BO19"/>
    <mergeCell ref="BP19:BR19"/>
    <mergeCell ref="BS19:BU19"/>
    <mergeCell ref="BV19:BX19"/>
    <mergeCell ref="BY19:CA19"/>
    <mergeCell ref="D20:G20"/>
    <mergeCell ref="H20:J20"/>
    <mergeCell ref="K20:M20"/>
    <mergeCell ref="N20:P20"/>
    <mergeCell ref="Q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BM18:BO18"/>
    <mergeCell ref="BP18:BR18"/>
    <mergeCell ref="BS18:BU18"/>
    <mergeCell ref="BV18:BX18"/>
    <mergeCell ref="BY18:CA18"/>
    <mergeCell ref="F19:G19"/>
    <mergeCell ref="H19:J19"/>
    <mergeCell ref="K19:M19"/>
    <mergeCell ref="N19:P19"/>
    <mergeCell ref="Q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BG19:BI19"/>
    <mergeCell ref="BP17:BR17"/>
    <mergeCell ref="BS17:BU17"/>
    <mergeCell ref="BV17:BX17"/>
    <mergeCell ref="BY17:CA17"/>
    <mergeCell ref="F18:G18"/>
    <mergeCell ref="H18:J18"/>
    <mergeCell ref="K18:M18"/>
    <mergeCell ref="N18:P18"/>
    <mergeCell ref="Q18:S18"/>
    <mergeCell ref="T18:V18"/>
    <mergeCell ref="W18:Y18"/>
    <mergeCell ref="Z18:AB18"/>
    <mergeCell ref="AC18:AE18"/>
    <mergeCell ref="AF18:AH18"/>
    <mergeCell ref="AI18:AK18"/>
    <mergeCell ref="AL18:AN18"/>
    <mergeCell ref="AO18:AQ18"/>
    <mergeCell ref="AR18:AT18"/>
    <mergeCell ref="AU18:AW18"/>
    <mergeCell ref="AX18:AZ18"/>
    <mergeCell ref="BA18:BC18"/>
    <mergeCell ref="BD18:BF18"/>
    <mergeCell ref="BG18:BI18"/>
    <mergeCell ref="BJ18:BL18"/>
    <mergeCell ref="AO17:AQ17"/>
    <mergeCell ref="AR17:AT17"/>
    <mergeCell ref="AU17:AW17"/>
    <mergeCell ref="AX17:AZ17"/>
    <mergeCell ref="BA17:BC17"/>
    <mergeCell ref="BD17:BF17"/>
    <mergeCell ref="BG17:BI17"/>
    <mergeCell ref="BJ17:BL17"/>
    <mergeCell ref="BM17:BO17"/>
    <mergeCell ref="BM13:BO13"/>
    <mergeCell ref="BP13:BR13"/>
    <mergeCell ref="BS13:BU13"/>
    <mergeCell ref="BV13:BX13"/>
    <mergeCell ref="BY13:CA13"/>
    <mergeCell ref="A14:B20"/>
    <mergeCell ref="C14:C20"/>
    <mergeCell ref="D14:E16"/>
    <mergeCell ref="F14:G14"/>
    <mergeCell ref="F15:G15"/>
    <mergeCell ref="F16:G16"/>
    <mergeCell ref="D17:E19"/>
    <mergeCell ref="F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L13:AN13"/>
    <mergeCell ref="AO13:AQ13"/>
    <mergeCell ref="AR13:AT13"/>
    <mergeCell ref="AU13:AW13"/>
    <mergeCell ref="AX13:AZ13"/>
    <mergeCell ref="BA13:BC13"/>
    <mergeCell ref="BD13:BF13"/>
    <mergeCell ref="BG13:BI13"/>
    <mergeCell ref="BJ13:BL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BA12:BC12"/>
    <mergeCell ref="BD12:BF12"/>
    <mergeCell ref="BG12:BI12"/>
    <mergeCell ref="BJ12:BL12"/>
    <mergeCell ref="BM12:BO12"/>
    <mergeCell ref="BP12:BR12"/>
    <mergeCell ref="BS12:BU12"/>
    <mergeCell ref="BV12:BX12"/>
    <mergeCell ref="BY12:CA12"/>
    <mergeCell ref="BG11:BI11"/>
    <mergeCell ref="BJ11:BL11"/>
    <mergeCell ref="BM11:BO11"/>
    <mergeCell ref="BP11:BR11"/>
    <mergeCell ref="BS11:BU11"/>
    <mergeCell ref="BV11:BX11"/>
    <mergeCell ref="BY11:CA11"/>
    <mergeCell ref="CB11:CD11"/>
    <mergeCell ref="F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AX12:AZ12"/>
    <mergeCell ref="BM10:BO10"/>
    <mergeCell ref="BP10:BR10"/>
    <mergeCell ref="BS10:BU10"/>
    <mergeCell ref="BV10:BX10"/>
    <mergeCell ref="BY10:CA10"/>
    <mergeCell ref="CB10:CD10"/>
    <mergeCell ref="F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U11:AW11"/>
    <mergeCell ref="AX11:AZ11"/>
    <mergeCell ref="BA11:BC11"/>
    <mergeCell ref="BD11:BF11"/>
    <mergeCell ref="AL10:AN10"/>
    <mergeCell ref="AO10:AQ10"/>
    <mergeCell ref="AR10:AT10"/>
    <mergeCell ref="AU10:AW10"/>
    <mergeCell ref="AX10:AZ10"/>
    <mergeCell ref="BA10:BC10"/>
    <mergeCell ref="BD10:BF10"/>
    <mergeCell ref="BG10:BI10"/>
    <mergeCell ref="BJ10:BL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7:B13"/>
    <mergeCell ref="C7:C13"/>
    <mergeCell ref="D7:E9"/>
    <mergeCell ref="F7:G7"/>
    <mergeCell ref="F8:G8"/>
    <mergeCell ref="F9:G9"/>
    <mergeCell ref="D10:E12"/>
    <mergeCell ref="F10:G10"/>
    <mergeCell ref="H10:J10"/>
    <mergeCell ref="D13:G13"/>
    <mergeCell ref="H13:J13"/>
    <mergeCell ref="BG4:BI4"/>
    <mergeCell ref="BJ4:BL4"/>
    <mergeCell ref="BM4:BO4"/>
    <mergeCell ref="BP4:BR4"/>
    <mergeCell ref="BS4:BU4"/>
    <mergeCell ref="BV4:BX4"/>
    <mergeCell ref="BY4:CA4"/>
    <mergeCell ref="A5:B6"/>
    <mergeCell ref="C5:C6"/>
    <mergeCell ref="D5:G6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A4:G4"/>
    <mergeCell ref="H4:J4"/>
    <mergeCell ref="K4:M4"/>
    <mergeCell ref="N4:P4"/>
    <mergeCell ref="Q4:S4"/>
    <mergeCell ref="T4:V4"/>
    <mergeCell ref="W4:Y4"/>
    <mergeCell ref="Z4:AB4"/>
    <mergeCell ref="AC4:AE4"/>
  </mergeCells>
  <pageMargins left="0.35433070866141736" right="0.39370078740157483" top="0.35433070866141736" bottom="0.15748031496062992" header="0.15748031496062992" footer="0.15748031496062992"/>
  <pageSetup paperSize="8" scale="32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2"/>
  <sheetViews>
    <sheetView workbookViewId="0">
      <selection activeCell="T40" sqref="T40:V41"/>
    </sheetView>
  </sheetViews>
  <sheetFormatPr defaultRowHeight="12.75" x14ac:dyDescent="0.2"/>
  <cols>
    <col min="1" max="1" width="4.42578125" style="1072" customWidth="1"/>
    <col min="2" max="2" width="12" style="1072" customWidth="1"/>
    <col min="3" max="3" width="12.140625" style="1072" customWidth="1"/>
    <col min="4" max="4" width="7.28515625" style="1072" customWidth="1"/>
    <col min="5" max="5" width="4.85546875" style="1072" customWidth="1"/>
    <col min="6" max="6" width="5.140625" style="1072" customWidth="1"/>
    <col min="7" max="7" width="6.28515625" style="1072" customWidth="1"/>
    <col min="8" max="14" width="8.28515625" style="1072" customWidth="1"/>
    <col min="15" max="15" width="7.28515625" style="1072" customWidth="1"/>
    <col min="16" max="16" width="7.85546875" style="1072" customWidth="1"/>
    <col min="17" max="17" width="8.28515625" style="1072" customWidth="1"/>
    <col min="18" max="19" width="7.28515625" style="1072" customWidth="1"/>
    <col min="20" max="34" width="8.140625" style="1072" customWidth="1"/>
    <col min="35" max="36" width="8" style="1072" customWidth="1"/>
    <col min="37" max="79" width="8.140625" style="1072" customWidth="1"/>
    <col min="80" max="80" width="7.85546875" style="1072" customWidth="1"/>
    <col min="81" max="90" width="8.140625" style="1072" customWidth="1"/>
    <col min="91" max="256" width="9.140625" style="1072"/>
  </cols>
  <sheetData>
    <row r="1" spans="1:256" ht="18" x14ac:dyDescent="0.25">
      <c r="C1" s="1073" t="s">
        <v>61</v>
      </c>
      <c r="D1" s="1074"/>
      <c r="H1" s="1074"/>
      <c r="I1" s="1075"/>
      <c r="J1" s="1075"/>
      <c r="K1" s="1075"/>
      <c r="L1" s="1075"/>
      <c r="M1" s="1075"/>
      <c r="N1" s="1075"/>
      <c r="O1" s="1075"/>
      <c r="P1" s="2410" t="s">
        <v>284</v>
      </c>
      <c r="Q1" s="2410"/>
      <c r="R1" s="2410"/>
      <c r="S1" s="2410"/>
      <c r="T1" s="2410"/>
      <c r="U1" s="1075"/>
      <c r="BY1" s="1076" t="s">
        <v>285</v>
      </c>
    </row>
    <row r="2" spans="1:256" ht="14.25" x14ac:dyDescent="0.2">
      <c r="C2" s="1077"/>
      <c r="D2" s="1078"/>
      <c r="E2" s="1078"/>
      <c r="F2" s="1078"/>
    </row>
    <row r="3" spans="1:256" ht="18.75" thickBot="1" x14ac:dyDescent="0.3">
      <c r="B3" s="1079"/>
      <c r="C3" s="1080" t="s">
        <v>11</v>
      </c>
      <c r="D3" s="1080"/>
      <c r="E3" s="1080"/>
      <c r="F3" s="1081"/>
      <c r="G3" s="1080"/>
      <c r="H3" s="1080"/>
      <c r="K3" s="2411" t="s">
        <v>286</v>
      </c>
      <c r="L3" s="2411"/>
      <c r="M3" s="2411"/>
      <c r="N3" s="1082"/>
      <c r="O3" s="1082"/>
      <c r="P3" s="1079"/>
      <c r="BY3" s="1083" t="s">
        <v>3</v>
      </c>
      <c r="BZ3" s="2412">
        <v>45644</v>
      </c>
      <c r="CA3" s="2412"/>
    </row>
    <row r="4" spans="1:256" ht="13.5" thickBot="1" x14ac:dyDescent="0.25">
      <c r="B4" s="1079"/>
      <c r="C4" s="1079"/>
      <c r="D4" s="1079"/>
      <c r="E4" s="1079"/>
      <c r="F4" s="1079"/>
      <c r="G4" s="1079"/>
      <c r="H4" s="1079"/>
      <c r="I4" s="1079"/>
      <c r="J4" s="1079"/>
      <c r="K4" s="1084"/>
      <c r="L4" s="1079"/>
      <c r="M4" s="1079"/>
    </row>
    <row r="5" spans="1:256" ht="13.5" thickBot="1" x14ac:dyDescent="0.25">
      <c r="A5" s="1085" t="s">
        <v>12</v>
      </c>
      <c r="B5" s="1086"/>
      <c r="C5" s="1086"/>
      <c r="D5" s="1087"/>
      <c r="E5" s="1087"/>
      <c r="F5" s="1088"/>
      <c r="G5" s="1089"/>
      <c r="H5" s="1090"/>
      <c r="I5" s="1091">
        <v>1</v>
      </c>
      <c r="J5" s="1092" t="s">
        <v>287</v>
      </c>
      <c r="K5" s="1093"/>
      <c r="L5" s="1094">
        <v>2</v>
      </c>
      <c r="M5" s="1095" t="s">
        <v>287</v>
      </c>
      <c r="N5" s="1090"/>
      <c r="O5" s="1091">
        <v>3</v>
      </c>
      <c r="P5" s="1092" t="s">
        <v>287</v>
      </c>
      <c r="Q5" s="1090"/>
      <c r="R5" s="1091">
        <v>4</v>
      </c>
      <c r="S5" s="1092" t="s">
        <v>287</v>
      </c>
      <c r="T5" s="1090"/>
      <c r="U5" s="1091">
        <v>5</v>
      </c>
      <c r="V5" s="1092" t="s">
        <v>287</v>
      </c>
      <c r="W5" s="1090"/>
      <c r="X5" s="1091">
        <v>6</v>
      </c>
      <c r="Y5" s="1092" t="s">
        <v>287</v>
      </c>
      <c r="Z5" s="1090"/>
      <c r="AA5" s="1091">
        <v>7</v>
      </c>
      <c r="AB5" s="1092" t="s">
        <v>287</v>
      </c>
      <c r="AC5" s="1090"/>
      <c r="AD5" s="1091">
        <v>8</v>
      </c>
      <c r="AE5" s="1092" t="s">
        <v>287</v>
      </c>
      <c r="AF5" s="1090"/>
      <c r="AG5" s="1091">
        <v>9</v>
      </c>
      <c r="AH5" s="1092" t="s">
        <v>287</v>
      </c>
      <c r="AI5" s="1090"/>
      <c r="AJ5" s="1091">
        <v>10</v>
      </c>
      <c r="AK5" s="1092" t="s">
        <v>287</v>
      </c>
      <c r="AL5" s="1090"/>
      <c r="AM5" s="1091">
        <v>11</v>
      </c>
      <c r="AN5" s="1092" t="s">
        <v>287</v>
      </c>
      <c r="AO5" s="1090"/>
      <c r="AP5" s="1091">
        <v>12</v>
      </c>
      <c r="AQ5" s="1092" t="s">
        <v>287</v>
      </c>
      <c r="AR5" s="1090"/>
      <c r="AS5" s="1091">
        <v>13</v>
      </c>
      <c r="AT5" s="1092" t="s">
        <v>287</v>
      </c>
      <c r="AU5" s="1090"/>
      <c r="AV5" s="1091">
        <v>14</v>
      </c>
      <c r="AW5" s="1092" t="s">
        <v>287</v>
      </c>
      <c r="AX5" s="1090"/>
      <c r="AY5" s="1091">
        <v>15</v>
      </c>
      <c r="AZ5" s="1092" t="s">
        <v>287</v>
      </c>
      <c r="BA5" s="1090"/>
      <c r="BB5" s="1091">
        <v>16</v>
      </c>
      <c r="BC5" s="1092" t="s">
        <v>287</v>
      </c>
      <c r="BD5" s="1090"/>
      <c r="BE5" s="1091">
        <v>17</v>
      </c>
      <c r="BF5" s="1092" t="s">
        <v>287</v>
      </c>
      <c r="BG5" s="1090"/>
      <c r="BH5" s="1091">
        <v>18</v>
      </c>
      <c r="BI5" s="1092" t="s">
        <v>287</v>
      </c>
      <c r="BJ5" s="1090"/>
      <c r="BK5" s="1091">
        <v>19</v>
      </c>
      <c r="BL5" s="1092" t="s">
        <v>287</v>
      </c>
      <c r="BM5" s="1090"/>
      <c r="BN5" s="1091">
        <v>20</v>
      </c>
      <c r="BO5" s="1092" t="s">
        <v>287</v>
      </c>
      <c r="BP5" s="1090"/>
      <c r="BQ5" s="1091">
        <v>21</v>
      </c>
      <c r="BR5" s="1092" t="s">
        <v>287</v>
      </c>
      <c r="BS5" s="1090"/>
      <c r="BT5" s="1091">
        <v>22</v>
      </c>
      <c r="BU5" s="1092" t="s">
        <v>287</v>
      </c>
      <c r="BV5" s="1096"/>
      <c r="BW5" s="1094">
        <v>23</v>
      </c>
      <c r="BX5" s="1095" t="s">
        <v>287</v>
      </c>
      <c r="BY5" s="1097"/>
      <c r="BZ5" s="1094">
        <v>24</v>
      </c>
      <c r="CA5" s="1098" t="s">
        <v>287</v>
      </c>
      <c r="CB5" s="1099"/>
      <c r="CC5" s="1099"/>
      <c r="CD5" s="1099"/>
      <c r="CE5" s="1099"/>
      <c r="CF5" s="1099"/>
      <c r="CG5" s="1099"/>
      <c r="CH5" s="1099"/>
      <c r="CI5" s="1099"/>
      <c r="CJ5" s="1099"/>
      <c r="CK5" s="1099"/>
      <c r="CL5" s="1099"/>
      <c r="CM5" s="1099"/>
      <c r="CN5" s="1099"/>
      <c r="CO5" s="1099"/>
      <c r="CP5" s="1099"/>
      <c r="CQ5" s="1099"/>
      <c r="CR5" s="1099"/>
      <c r="CS5" s="1099"/>
      <c r="CT5" s="1099"/>
      <c r="CU5" s="1099"/>
      <c r="CV5" s="1099"/>
      <c r="CW5" s="1099"/>
      <c r="CX5" s="1099"/>
      <c r="CY5" s="1099"/>
      <c r="CZ5" s="1099"/>
      <c r="DA5" s="1099"/>
      <c r="DB5" s="1099"/>
      <c r="DC5" s="1099"/>
      <c r="DD5" s="1099"/>
      <c r="DE5" s="1099"/>
      <c r="DF5" s="1099"/>
      <c r="DG5" s="1099"/>
      <c r="DH5" s="1099"/>
      <c r="DI5" s="1099"/>
      <c r="DJ5" s="1099"/>
      <c r="DK5" s="1099"/>
      <c r="DL5" s="1099"/>
      <c r="DM5" s="1099"/>
      <c r="DN5" s="1099"/>
      <c r="DO5" s="1099"/>
      <c r="DP5" s="1099"/>
      <c r="DQ5" s="1099"/>
      <c r="DR5" s="1099"/>
      <c r="DS5" s="1099"/>
      <c r="DT5" s="1099"/>
      <c r="DU5" s="1099"/>
      <c r="DV5" s="1099"/>
      <c r="DW5" s="1099"/>
      <c r="DX5" s="1099"/>
      <c r="DY5" s="1099"/>
      <c r="DZ5" s="1099"/>
      <c r="EA5" s="1099"/>
      <c r="EB5" s="1099"/>
      <c r="EC5" s="1099"/>
      <c r="ED5" s="1099"/>
      <c r="EE5" s="1099"/>
      <c r="EF5" s="1099"/>
      <c r="EG5" s="1099"/>
      <c r="EH5" s="1099"/>
      <c r="EI5" s="1099"/>
      <c r="EJ5" s="1099"/>
      <c r="EK5" s="1099"/>
      <c r="EL5" s="1099"/>
      <c r="EM5" s="1099"/>
      <c r="EN5" s="1099"/>
      <c r="EO5" s="1099"/>
      <c r="EP5" s="1099"/>
      <c r="EQ5" s="1099"/>
      <c r="ER5" s="1099"/>
      <c r="ES5" s="1099"/>
      <c r="ET5" s="1099"/>
      <c r="EU5" s="1099"/>
      <c r="EV5" s="1099"/>
      <c r="EW5" s="1099"/>
      <c r="EX5" s="1099"/>
      <c r="EY5" s="1099"/>
      <c r="EZ5" s="1099"/>
      <c r="FA5" s="1099"/>
      <c r="FB5" s="1099"/>
      <c r="FC5" s="1099"/>
      <c r="FD5" s="1099"/>
      <c r="FE5" s="1099"/>
      <c r="FF5" s="1099"/>
      <c r="FG5" s="1099"/>
      <c r="FH5" s="1099"/>
      <c r="FI5" s="1099"/>
      <c r="FJ5" s="1099"/>
      <c r="FK5" s="1099"/>
      <c r="FL5" s="1099"/>
      <c r="FM5" s="1099"/>
      <c r="FN5" s="1099"/>
      <c r="FO5" s="1099"/>
      <c r="FP5" s="1099"/>
      <c r="FQ5" s="1099"/>
      <c r="FR5" s="1099"/>
      <c r="FS5" s="1099"/>
      <c r="FT5" s="1099"/>
      <c r="FU5" s="1099"/>
      <c r="FV5" s="1099"/>
      <c r="FW5" s="1099"/>
      <c r="FX5" s="1099"/>
      <c r="FY5" s="1099"/>
      <c r="FZ5" s="1099"/>
      <c r="GA5" s="1099"/>
      <c r="GB5" s="1099"/>
      <c r="GC5" s="1099"/>
      <c r="GD5" s="1099"/>
      <c r="GE5" s="1099"/>
      <c r="GF5" s="1099"/>
      <c r="GG5" s="1099"/>
      <c r="GH5" s="1099"/>
      <c r="GI5" s="1099"/>
      <c r="GJ5" s="1099"/>
      <c r="GK5" s="1099"/>
      <c r="GL5" s="1099"/>
      <c r="GM5" s="1099"/>
      <c r="GN5" s="1099"/>
      <c r="GO5" s="1099"/>
      <c r="GP5" s="1099"/>
      <c r="GQ5" s="1099"/>
      <c r="GR5" s="1099"/>
      <c r="GS5" s="1099"/>
      <c r="GT5" s="1099"/>
      <c r="GU5" s="1099"/>
      <c r="GV5" s="1099"/>
      <c r="GW5" s="1099"/>
      <c r="GX5" s="1099"/>
      <c r="GY5" s="1099"/>
      <c r="GZ5" s="1099"/>
      <c r="HA5" s="1099"/>
      <c r="HB5" s="1099"/>
      <c r="HC5" s="1099"/>
      <c r="HD5" s="1099"/>
      <c r="HE5" s="1099"/>
      <c r="HF5" s="1099"/>
      <c r="HG5" s="1099"/>
      <c r="HH5" s="1099"/>
      <c r="HI5" s="1099"/>
      <c r="HJ5" s="1099"/>
      <c r="HK5" s="1099"/>
      <c r="HL5" s="1099"/>
      <c r="HM5" s="1099"/>
      <c r="HN5" s="1099"/>
      <c r="HO5" s="1099"/>
      <c r="HP5" s="1099"/>
      <c r="HQ5" s="1099"/>
      <c r="HR5" s="1099"/>
      <c r="HS5" s="1099"/>
      <c r="HT5" s="1099"/>
      <c r="HU5" s="1099"/>
      <c r="HV5" s="1099"/>
      <c r="HW5" s="1099"/>
      <c r="HX5" s="1099"/>
      <c r="HY5" s="1099"/>
      <c r="HZ5" s="1099"/>
      <c r="IA5" s="1099"/>
      <c r="IB5" s="1099"/>
      <c r="IC5" s="1099"/>
      <c r="ID5" s="1099"/>
      <c r="IE5" s="1099"/>
      <c r="IF5" s="1099"/>
      <c r="IG5" s="1099"/>
      <c r="IH5" s="1099"/>
      <c r="II5" s="1099"/>
      <c r="IJ5" s="1099"/>
      <c r="IK5" s="1099"/>
      <c r="IL5" s="1099"/>
      <c r="IM5" s="1099"/>
      <c r="IN5" s="1099"/>
      <c r="IO5" s="1099"/>
      <c r="IP5" s="1099"/>
      <c r="IQ5" s="1099"/>
      <c r="IR5" s="1099"/>
      <c r="IS5" s="1099"/>
      <c r="IT5" s="1099"/>
      <c r="IU5" s="1099"/>
      <c r="IV5" s="1099"/>
    </row>
    <row r="6" spans="1:256" x14ac:dyDescent="0.2">
      <c r="A6" s="1085" t="s">
        <v>17</v>
      </c>
      <c r="B6" s="1100"/>
      <c r="C6" s="1100" t="s">
        <v>16</v>
      </c>
      <c r="D6" s="1101"/>
      <c r="E6" s="1101"/>
      <c r="F6" s="1102"/>
      <c r="G6" s="1102"/>
      <c r="H6" s="1103" t="s">
        <v>4</v>
      </c>
      <c r="I6" s="1104" t="s">
        <v>9</v>
      </c>
      <c r="J6" s="1105" t="s">
        <v>10</v>
      </c>
      <c r="K6" s="1106" t="s">
        <v>4</v>
      </c>
      <c r="L6" s="1107" t="s">
        <v>9</v>
      </c>
      <c r="M6" s="1108" t="s">
        <v>10</v>
      </c>
      <c r="N6" s="1103" t="s">
        <v>4</v>
      </c>
      <c r="O6" s="1104" t="s">
        <v>9</v>
      </c>
      <c r="P6" s="1105" t="s">
        <v>10</v>
      </c>
      <c r="Q6" s="1103" t="s">
        <v>4</v>
      </c>
      <c r="R6" s="1104" t="s">
        <v>9</v>
      </c>
      <c r="S6" s="1105" t="s">
        <v>10</v>
      </c>
      <c r="T6" s="1103" t="s">
        <v>4</v>
      </c>
      <c r="U6" s="1104" t="s">
        <v>9</v>
      </c>
      <c r="V6" s="1105" t="s">
        <v>10</v>
      </c>
      <c r="W6" s="1103" t="s">
        <v>4</v>
      </c>
      <c r="X6" s="1104" t="s">
        <v>9</v>
      </c>
      <c r="Y6" s="1105" t="s">
        <v>10</v>
      </c>
      <c r="Z6" s="1103" t="s">
        <v>4</v>
      </c>
      <c r="AA6" s="1104" t="s">
        <v>9</v>
      </c>
      <c r="AB6" s="1105" t="s">
        <v>10</v>
      </c>
      <c r="AC6" s="1103" t="s">
        <v>4</v>
      </c>
      <c r="AD6" s="1104" t="s">
        <v>9</v>
      </c>
      <c r="AE6" s="1105" t="s">
        <v>10</v>
      </c>
      <c r="AF6" s="1103" t="s">
        <v>4</v>
      </c>
      <c r="AG6" s="1104" t="s">
        <v>9</v>
      </c>
      <c r="AH6" s="1105" t="s">
        <v>10</v>
      </c>
      <c r="AI6" s="1103" t="s">
        <v>4</v>
      </c>
      <c r="AJ6" s="1104" t="s">
        <v>9</v>
      </c>
      <c r="AK6" s="1105" t="s">
        <v>10</v>
      </c>
      <c r="AL6" s="1103" t="s">
        <v>4</v>
      </c>
      <c r="AM6" s="1104" t="s">
        <v>9</v>
      </c>
      <c r="AN6" s="1105" t="s">
        <v>10</v>
      </c>
      <c r="AO6" s="1103" t="s">
        <v>4</v>
      </c>
      <c r="AP6" s="1104" t="s">
        <v>9</v>
      </c>
      <c r="AQ6" s="1105" t="s">
        <v>10</v>
      </c>
      <c r="AR6" s="1103" t="s">
        <v>4</v>
      </c>
      <c r="AS6" s="1104" t="s">
        <v>9</v>
      </c>
      <c r="AT6" s="1105" t="s">
        <v>10</v>
      </c>
      <c r="AU6" s="1103" t="s">
        <v>4</v>
      </c>
      <c r="AV6" s="1104" t="s">
        <v>9</v>
      </c>
      <c r="AW6" s="1105" t="s">
        <v>10</v>
      </c>
      <c r="AX6" s="1103" t="s">
        <v>4</v>
      </c>
      <c r="AY6" s="1104" t="s">
        <v>9</v>
      </c>
      <c r="AZ6" s="1105" t="s">
        <v>10</v>
      </c>
      <c r="BA6" s="1103" t="s">
        <v>4</v>
      </c>
      <c r="BB6" s="1104" t="s">
        <v>9</v>
      </c>
      <c r="BC6" s="1105" t="s">
        <v>10</v>
      </c>
      <c r="BD6" s="1103" t="s">
        <v>4</v>
      </c>
      <c r="BE6" s="1104" t="s">
        <v>9</v>
      </c>
      <c r="BF6" s="1105" t="s">
        <v>10</v>
      </c>
      <c r="BG6" s="1103" t="s">
        <v>4</v>
      </c>
      <c r="BH6" s="1104" t="s">
        <v>9</v>
      </c>
      <c r="BI6" s="1105" t="s">
        <v>10</v>
      </c>
      <c r="BJ6" s="1103" t="s">
        <v>4</v>
      </c>
      <c r="BK6" s="1104" t="s">
        <v>9</v>
      </c>
      <c r="BL6" s="1105" t="s">
        <v>10</v>
      </c>
      <c r="BM6" s="1103" t="s">
        <v>4</v>
      </c>
      <c r="BN6" s="1104" t="s">
        <v>9</v>
      </c>
      <c r="BO6" s="1105" t="s">
        <v>10</v>
      </c>
      <c r="BP6" s="1103" t="s">
        <v>4</v>
      </c>
      <c r="BQ6" s="1104" t="s">
        <v>9</v>
      </c>
      <c r="BR6" s="1105" t="s">
        <v>10</v>
      </c>
      <c r="BS6" s="1103" t="s">
        <v>4</v>
      </c>
      <c r="BT6" s="1104" t="s">
        <v>9</v>
      </c>
      <c r="BU6" s="1105" t="s">
        <v>10</v>
      </c>
      <c r="BV6" s="1103" t="s">
        <v>4</v>
      </c>
      <c r="BW6" s="1104" t="s">
        <v>9</v>
      </c>
      <c r="BX6" s="1105" t="s">
        <v>10</v>
      </c>
      <c r="BY6" s="1109" t="s">
        <v>4</v>
      </c>
      <c r="BZ6" s="1104" t="s">
        <v>9</v>
      </c>
      <c r="CA6" s="1105" t="s">
        <v>10</v>
      </c>
      <c r="CB6" s="1099"/>
      <c r="CC6" s="1099"/>
      <c r="CD6" s="1099"/>
      <c r="CE6" s="1099"/>
      <c r="CF6" s="1099"/>
      <c r="CG6" s="1099"/>
      <c r="CH6" s="1099"/>
      <c r="CI6" s="1099"/>
      <c r="CJ6" s="1099"/>
      <c r="CK6" s="1099"/>
      <c r="CL6" s="1099"/>
      <c r="CM6" s="1099"/>
      <c r="CN6" s="1099"/>
      <c r="CO6" s="1099"/>
      <c r="CP6" s="1099"/>
      <c r="CQ6" s="1099"/>
      <c r="CR6" s="1099"/>
      <c r="CS6" s="1099"/>
      <c r="CT6" s="1099"/>
      <c r="CU6" s="1099"/>
      <c r="CV6" s="1099"/>
      <c r="CW6" s="1099"/>
      <c r="CX6" s="1099"/>
      <c r="CY6" s="1099"/>
      <c r="CZ6" s="1099"/>
      <c r="DA6" s="1099"/>
      <c r="DB6" s="1099"/>
      <c r="DC6" s="1099"/>
      <c r="DD6" s="1099"/>
      <c r="DE6" s="1099"/>
      <c r="DF6" s="1099"/>
      <c r="DG6" s="1099"/>
      <c r="DH6" s="1099"/>
      <c r="DI6" s="1099"/>
      <c r="DJ6" s="1099"/>
      <c r="DK6" s="1099"/>
      <c r="DL6" s="1099"/>
      <c r="DM6" s="1099"/>
      <c r="DN6" s="1099"/>
      <c r="DO6" s="1099"/>
      <c r="DP6" s="1099"/>
      <c r="DQ6" s="1099"/>
      <c r="DR6" s="1099"/>
      <c r="DS6" s="1099"/>
      <c r="DT6" s="1099"/>
      <c r="DU6" s="1099"/>
      <c r="DV6" s="1099"/>
      <c r="DW6" s="1099"/>
      <c r="DX6" s="1099"/>
      <c r="DY6" s="1099"/>
      <c r="DZ6" s="1099"/>
      <c r="EA6" s="1099"/>
      <c r="EB6" s="1099"/>
      <c r="EC6" s="1099"/>
      <c r="ED6" s="1099"/>
      <c r="EE6" s="1099"/>
      <c r="EF6" s="1099"/>
      <c r="EG6" s="1099"/>
      <c r="EH6" s="1099"/>
      <c r="EI6" s="1099"/>
      <c r="EJ6" s="1099"/>
      <c r="EK6" s="1099"/>
      <c r="EL6" s="1099"/>
      <c r="EM6" s="1099"/>
      <c r="EN6" s="1099"/>
      <c r="EO6" s="1099"/>
      <c r="EP6" s="1099"/>
      <c r="EQ6" s="1099"/>
      <c r="ER6" s="1099"/>
      <c r="ES6" s="1099"/>
      <c r="ET6" s="1099"/>
      <c r="EU6" s="1099"/>
      <c r="EV6" s="1099"/>
      <c r="EW6" s="1099"/>
      <c r="EX6" s="1099"/>
      <c r="EY6" s="1099"/>
      <c r="EZ6" s="1099"/>
      <c r="FA6" s="1099"/>
      <c r="FB6" s="1099"/>
      <c r="FC6" s="1099"/>
      <c r="FD6" s="1099"/>
      <c r="FE6" s="1099"/>
      <c r="FF6" s="1099"/>
      <c r="FG6" s="1099"/>
      <c r="FH6" s="1099"/>
      <c r="FI6" s="1099"/>
      <c r="FJ6" s="1099"/>
      <c r="FK6" s="1099"/>
      <c r="FL6" s="1099"/>
      <c r="FM6" s="1099"/>
      <c r="FN6" s="1099"/>
      <c r="FO6" s="1099"/>
      <c r="FP6" s="1099"/>
      <c r="FQ6" s="1099"/>
      <c r="FR6" s="1099"/>
      <c r="FS6" s="1099"/>
      <c r="FT6" s="1099"/>
      <c r="FU6" s="1099"/>
      <c r="FV6" s="1099"/>
      <c r="FW6" s="1099"/>
      <c r="FX6" s="1099"/>
      <c r="FY6" s="1099"/>
      <c r="FZ6" s="1099"/>
      <c r="GA6" s="1099"/>
      <c r="GB6" s="1099"/>
      <c r="GC6" s="1099"/>
      <c r="GD6" s="1099"/>
      <c r="GE6" s="1099"/>
      <c r="GF6" s="1099"/>
      <c r="GG6" s="1099"/>
      <c r="GH6" s="1099"/>
      <c r="GI6" s="1099"/>
      <c r="GJ6" s="1099"/>
      <c r="GK6" s="1099"/>
      <c r="GL6" s="1099"/>
      <c r="GM6" s="1099"/>
      <c r="GN6" s="1099"/>
      <c r="GO6" s="1099"/>
      <c r="GP6" s="1099"/>
      <c r="GQ6" s="1099"/>
      <c r="GR6" s="1099"/>
      <c r="GS6" s="1099"/>
      <c r="GT6" s="1099"/>
      <c r="GU6" s="1099"/>
      <c r="GV6" s="1099"/>
      <c r="GW6" s="1099"/>
      <c r="GX6" s="1099"/>
      <c r="GY6" s="1099"/>
      <c r="GZ6" s="1099"/>
      <c r="HA6" s="1099"/>
      <c r="HB6" s="1099"/>
      <c r="HC6" s="1099"/>
      <c r="HD6" s="1099"/>
      <c r="HE6" s="1099"/>
      <c r="HF6" s="1099"/>
      <c r="HG6" s="1099"/>
      <c r="HH6" s="1099"/>
      <c r="HI6" s="1099"/>
      <c r="HJ6" s="1099"/>
      <c r="HK6" s="1099"/>
      <c r="HL6" s="1099"/>
      <c r="HM6" s="1099"/>
      <c r="HN6" s="1099"/>
      <c r="HO6" s="1099"/>
      <c r="HP6" s="1099"/>
      <c r="HQ6" s="1099"/>
      <c r="HR6" s="1099"/>
      <c r="HS6" s="1099"/>
      <c r="HT6" s="1099"/>
      <c r="HU6" s="1099"/>
      <c r="HV6" s="1099"/>
      <c r="HW6" s="1099"/>
      <c r="HX6" s="1099"/>
      <c r="HY6" s="1099"/>
      <c r="HZ6" s="1099"/>
      <c r="IA6" s="1099"/>
      <c r="IB6" s="1099"/>
      <c r="IC6" s="1099"/>
      <c r="ID6" s="1099"/>
      <c r="IE6" s="1099"/>
      <c r="IF6" s="1099"/>
      <c r="IG6" s="1099"/>
      <c r="IH6" s="1099"/>
      <c r="II6" s="1099"/>
      <c r="IJ6" s="1099"/>
      <c r="IK6" s="1099"/>
      <c r="IL6" s="1099"/>
      <c r="IM6" s="1099"/>
      <c r="IN6" s="1099"/>
      <c r="IO6" s="1099"/>
      <c r="IP6" s="1099"/>
      <c r="IQ6" s="1099"/>
      <c r="IR6" s="1099"/>
      <c r="IS6" s="1099"/>
      <c r="IT6" s="1099"/>
      <c r="IU6" s="1099"/>
      <c r="IV6" s="1099"/>
    </row>
    <row r="7" spans="1:256" ht="13.5" thickBot="1" x14ac:dyDescent="0.25">
      <c r="A7" s="1110" t="s">
        <v>18</v>
      </c>
      <c r="B7" s="1111"/>
      <c r="C7" s="1112" t="s">
        <v>28</v>
      </c>
      <c r="D7" s="1113"/>
      <c r="E7" s="1113"/>
      <c r="F7" s="1114"/>
      <c r="G7" s="1114"/>
      <c r="H7" s="1115" t="s">
        <v>30</v>
      </c>
      <c r="I7" s="1116" t="s">
        <v>31</v>
      </c>
      <c r="J7" s="1117" t="s">
        <v>44</v>
      </c>
      <c r="K7" s="1118" t="s">
        <v>30</v>
      </c>
      <c r="L7" s="1119" t="s">
        <v>31</v>
      </c>
      <c r="M7" s="1120" t="s">
        <v>44</v>
      </c>
      <c r="N7" s="1115" t="s">
        <v>30</v>
      </c>
      <c r="O7" s="1116" t="s">
        <v>31</v>
      </c>
      <c r="P7" s="1117" t="s">
        <v>44</v>
      </c>
      <c r="Q7" s="1115" t="s">
        <v>30</v>
      </c>
      <c r="R7" s="1116" t="s">
        <v>31</v>
      </c>
      <c r="S7" s="1117" t="s">
        <v>44</v>
      </c>
      <c r="T7" s="1115" t="s">
        <v>30</v>
      </c>
      <c r="U7" s="1116" t="s">
        <v>31</v>
      </c>
      <c r="V7" s="1117" t="s">
        <v>44</v>
      </c>
      <c r="W7" s="1115" t="s">
        <v>30</v>
      </c>
      <c r="X7" s="1116" t="s">
        <v>31</v>
      </c>
      <c r="Y7" s="1117" t="s">
        <v>44</v>
      </c>
      <c r="Z7" s="1115" t="s">
        <v>30</v>
      </c>
      <c r="AA7" s="1116" t="s">
        <v>31</v>
      </c>
      <c r="AB7" s="1117" t="s">
        <v>44</v>
      </c>
      <c r="AC7" s="1115" t="s">
        <v>30</v>
      </c>
      <c r="AD7" s="1116" t="s">
        <v>31</v>
      </c>
      <c r="AE7" s="1117" t="s">
        <v>44</v>
      </c>
      <c r="AF7" s="1115" t="s">
        <v>30</v>
      </c>
      <c r="AG7" s="1116" t="s">
        <v>31</v>
      </c>
      <c r="AH7" s="1117" t="s">
        <v>44</v>
      </c>
      <c r="AI7" s="1115" t="s">
        <v>30</v>
      </c>
      <c r="AJ7" s="1116" t="s">
        <v>31</v>
      </c>
      <c r="AK7" s="1117" t="s">
        <v>44</v>
      </c>
      <c r="AL7" s="1115" t="s">
        <v>30</v>
      </c>
      <c r="AM7" s="1116" t="s">
        <v>31</v>
      </c>
      <c r="AN7" s="1117" t="s">
        <v>44</v>
      </c>
      <c r="AO7" s="1115" t="s">
        <v>30</v>
      </c>
      <c r="AP7" s="1116" t="s">
        <v>31</v>
      </c>
      <c r="AQ7" s="1117" t="s">
        <v>44</v>
      </c>
      <c r="AR7" s="1115" t="s">
        <v>30</v>
      </c>
      <c r="AS7" s="1116" t="s">
        <v>31</v>
      </c>
      <c r="AT7" s="1117" t="s">
        <v>44</v>
      </c>
      <c r="AU7" s="1115" t="s">
        <v>30</v>
      </c>
      <c r="AV7" s="1116" t="s">
        <v>31</v>
      </c>
      <c r="AW7" s="1117" t="s">
        <v>44</v>
      </c>
      <c r="AX7" s="1115" t="s">
        <v>30</v>
      </c>
      <c r="AY7" s="1116" t="s">
        <v>31</v>
      </c>
      <c r="AZ7" s="1117" t="s">
        <v>44</v>
      </c>
      <c r="BA7" s="1115" t="s">
        <v>30</v>
      </c>
      <c r="BB7" s="1116" t="s">
        <v>31</v>
      </c>
      <c r="BC7" s="1117" t="s">
        <v>44</v>
      </c>
      <c r="BD7" s="1115" t="s">
        <v>30</v>
      </c>
      <c r="BE7" s="1116" t="s">
        <v>31</v>
      </c>
      <c r="BF7" s="1117" t="s">
        <v>44</v>
      </c>
      <c r="BG7" s="1115" t="s">
        <v>30</v>
      </c>
      <c r="BH7" s="1116" t="s">
        <v>31</v>
      </c>
      <c r="BI7" s="1117" t="s">
        <v>44</v>
      </c>
      <c r="BJ7" s="1115" t="s">
        <v>30</v>
      </c>
      <c r="BK7" s="1116" t="s">
        <v>31</v>
      </c>
      <c r="BL7" s="1117" t="s">
        <v>44</v>
      </c>
      <c r="BM7" s="1115" t="s">
        <v>30</v>
      </c>
      <c r="BN7" s="1116" t="s">
        <v>31</v>
      </c>
      <c r="BO7" s="1117" t="s">
        <v>44</v>
      </c>
      <c r="BP7" s="1115" t="s">
        <v>30</v>
      </c>
      <c r="BQ7" s="1116" t="s">
        <v>31</v>
      </c>
      <c r="BR7" s="1117" t="s">
        <v>44</v>
      </c>
      <c r="BS7" s="1115" t="s">
        <v>30</v>
      </c>
      <c r="BT7" s="1116" t="s">
        <v>31</v>
      </c>
      <c r="BU7" s="1117" t="s">
        <v>44</v>
      </c>
      <c r="BV7" s="1118" t="s">
        <v>30</v>
      </c>
      <c r="BW7" s="1119" t="s">
        <v>31</v>
      </c>
      <c r="BX7" s="1120" t="s">
        <v>44</v>
      </c>
      <c r="BY7" s="1118" t="s">
        <v>30</v>
      </c>
      <c r="BZ7" s="1119" t="s">
        <v>31</v>
      </c>
      <c r="CA7" s="1120" t="s">
        <v>44</v>
      </c>
      <c r="CB7" s="1099"/>
      <c r="CC7" s="1099"/>
      <c r="CD7" s="1099"/>
      <c r="CE7" s="1099"/>
      <c r="CF7" s="1099"/>
      <c r="CG7" s="1099"/>
      <c r="CH7" s="1099"/>
      <c r="CI7" s="1099"/>
      <c r="CJ7" s="1099"/>
      <c r="CK7" s="1099"/>
      <c r="CL7" s="1099"/>
      <c r="CM7" s="1099"/>
      <c r="CN7" s="1099"/>
      <c r="CO7" s="1099"/>
      <c r="CP7" s="1099"/>
      <c r="CQ7" s="1099"/>
      <c r="CR7" s="1099"/>
      <c r="CS7" s="1099"/>
      <c r="CT7" s="1099"/>
      <c r="CU7" s="1099"/>
      <c r="CV7" s="1099"/>
      <c r="CW7" s="1099"/>
      <c r="CX7" s="1099"/>
      <c r="CY7" s="1099"/>
      <c r="CZ7" s="1099"/>
      <c r="DA7" s="1099"/>
      <c r="DB7" s="1099"/>
      <c r="DC7" s="1099"/>
      <c r="DD7" s="1099"/>
      <c r="DE7" s="1099"/>
      <c r="DF7" s="1099"/>
      <c r="DG7" s="1099"/>
      <c r="DH7" s="1099"/>
      <c r="DI7" s="1099"/>
      <c r="DJ7" s="1099"/>
      <c r="DK7" s="1099"/>
      <c r="DL7" s="1099"/>
      <c r="DM7" s="1099"/>
      <c r="DN7" s="1099"/>
      <c r="DO7" s="1099"/>
      <c r="DP7" s="1099"/>
      <c r="DQ7" s="1099"/>
      <c r="DR7" s="1099"/>
      <c r="DS7" s="1099"/>
      <c r="DT7" s="1099"/>
      <c r="DU7" s="1099"/>
      <c r="DV7" s="1099"/>
      <c r="DW7" s="1099"/>
      <c r="DX7" s="1099"/>
      <c r="DY7" s="1099"/>
      <c r="DZ7" s="1099"/>
      <c r="EA7" s="1099"/>
      <c r="EB7" s="1099"/>
      <c r="EC7" s="1099"/>
      <c r="ED7" s="1099"/>
      <c r="EE7" s="1099"/>
      <c r="EF7" s="1099"/>
      <c r="EG7" s="1099"/>
      <c r="EH7" s="1099"/>
      <c r="EI7" s="1099"/>
      <c r="EJ7" s="1099"/>
      <c r="EK7" s="1099"/>
      <c r="EL7" s="1099"/>
      <c r="EM7" s="1099"/>
      <c r="EN7" s="1099"/>
      <c r="EO7" s="1099"/>
      <c r="EP7" s="1099"/>
      <c r="EQ7" s="1099"/>
      <c r="ER7" s="1099"/>
      <c r="ES7" s="1099"/>
      <c r="ET7" s="1099"/>
      <c r="EU7" s="1099"/>
      <c r="EV7" s="1099"/>
      <c r="EW7" s="1099"/>
      <c r="EX7" s="1099"/>
      <c r="EY7" s="1099"/>
      <c r="EZ7" s="1099"/>
      <c r="FA7" s="1099"/>
      <c r="FB7" s="1099"/>
      <c r="FC7" s="1099"/>
      <c r="FD7" s="1099"/>
      <c r="FE7" s="1099"/>
      <c r="FF7" s="1099"/>
      <c r="FG7" s="1099"/>
      <c r="FH7" s="1099"/>
      <c r="FI7" s="1099"/>
      <c r="FJ7" s="1099"/>
      <c r="FK7" s="1099"/>
      <c r="FL7" s="1099"/>
      <c r="FM7" s="1099"/>
      <c r="FN7" s="1099"/>
      <c r="FO7" s="1099"/>
      <c r="FP7" s="1099"/>
      <c r="FQ7" s="1099"/>
      <c r="FR7" s="1099"/>
      <c r="FS7" s="1099"/>
      <c r="FT7" s="1099"/>
      <c r="FU7" s="1099"/>
      <c r="FV7" s="1099"/>
      <c r="FW7" s="1099"/>
      <c r="FX7" s="1099"/>
      <c r="FY7" s="1099"/>
      <c r="FZ7" s="1099"/>
      <c r="GA7" s="1099"/>
      <c r="GB7" s="1099"/>
      <c r="GC7" s="1099"/>
      <c r="GD7" s="1099"/>
      <c r="GE7" s="1099"/>
      <c r="GF7" s="1099"/>
      <c r="GG7" s="1099"/>
      <c r="GH7" s="1099"/>
      <c r="GI7" s="1099"/>
      <c r="GJ7" s="1099"/>
      <c r="GK7" s="1099"/>
      <c r="GL7" s="1099"/>
      <c r="GM7" s="1099"/>
      <c r="GN7" s="1099"/>
      <c r="GO7" s="1099"/>
      <c r="GP7" s="1099"/>
      <c r="GQ7" s="1099"/>
      <c r="GR7" s="1099"/>
      <c r="GS7" s="1099"/>
      <c r="GT7" s="1099"/>
      <c r="GU7" s="1099"/>
      <c r="GV7" s="1099"/>
      <c r="GW7" s="1099"/>
      <c r="GX7" s="1099"/>
      <c r="GY7" s="1099"/>
      <c r="GZ7" s="1099"/>
      <c r="HA7" s="1099"/>
      <c r="HB7" s="1099"/>
      <c r="HC7" s="1099"/>
      <c r="HD7" s="1099"/>
      <c r="HE7" s="1099"/>
      <c r="HF7" s="1099"/>
      <c r="HG7" s="1099"/>
      <c r="HH7" s="1099"/>
      <c r="HI7" s="1099"/>
      <c r="HJ7" s="1099"/>
      <c r="HK7" s="1099"/>
      <c r="HL7" s="1099"/>
      <c r="HM7" s="1099"/>
      <c r="HN7" s="1099"/>
      <c r="HO7" s="1099"/>
      <c r="HP7" s="1099"/>
      <c r="HQ7" s="1099"/>
      <c r="HR7" s="1099"/>
      <c r="HS7" s="1099"/>
      <c r="HT7" s="1099"/>
      <c r="HU7" s="1099"/>
      <c r="HV7" s="1099"/>
      <c r="HW7" s="1099"/>
      <c r="HX7" s="1099"/>
      <c r="HY7" s="1099"/>
      <c r="HZ7" s="1099"/>
      <c r="IA7" s="1099"/>
      <c r="IB7" s="1099"/>
      <c r="IC7" s="1099"/>
      <c r="ID7" s="1099"/>
      <c r="IE7" s="1099"/>
      <c r="IF7" s="1099"/>
      <c r="IG7" s="1099"/>
      <c r="IH7" s="1099"/>
      <c r="II7" s="1099"/>
      <c r="IJ7" s="1099"/>
      <c r="IK7" s="1099"/>
      <c r="IL7" s="1099"/>
      <c r="IM7" s="1099"/>
      <c r="IN7" s="1099"/>
      <c r="IO7" s="1099"/>
      <c r="IP7" s="1099"/>
      <c r="IQ7" s="1099"/>
      <c r="IR7" s="1099"/>
      <c r="IS7" s="1099"/>
      <c r="IT7" s="1099"/>
      <c r="IU7" s="1099"/>
      <c r="IV7" s="1099"/>
    </row>
    <row r="8" spans="1:256" x14ac:dyDescent="0.2">
      <c r="A8" s="1121"/>
      <c r="B8" s="1122"/>
      <c r="C8" s="1123"/>
      <c r="D8" s="1124"/>
      <c r="E8" s="1125"/>
      <c r="F8" s="1124" t="s">
        <v>33</v>
      </c>
      <c r="G8" s="1126"/>
      <c r="H8" s="1127">
        <f>SQRT(I8^2+J8^2)*1000/(1.73*I11)</f>
        <v>30.5157956352806</v>
      </c>
      <c r="I8" s="1128">
        <f>I9</f>
        <v>6.1749999999999998</v>
      </c>
      <c r="J8" s="1129">
        <f>J9</f>
        <v>0.14500000000000002</v>
      </c>
      <c r="K8" s="1127">
        <f>SQRT(L8^2+M8^2)*1000/(1.73*L11)</f>
        <v>28.772589735806111</v>
      </c>
      <c r="L8" s="1128">
        <f>L9</f>
        <v>5.82</v>
      </c>
      <c r="M8" s="1129">
        <f>M9</f>
        <v>0.21199999999999999</v>
      </c>
      <c r="N8" s="1127">
        <f>SQRT(O8^2+P8^2)*1000/(1.73*O11)</f>
        <v>27.830547708378052</v>
      </c>
      <c r="O8" s="1128">
        <f>O9</f>
        <v>5.6290000000000004</v>
      </c>
      <c r="P8" s="1129">
        <f>P9</f>
        <v>0.217</v>
      </c>
      <c r="Q8" s="1127">
        <f>SQRT(R8^2+S8^2)*1000/(1.73*R11)</f>
        <v>27.440024683864731</v>
      </c>
      <c r="R8" s="1128">
        <f>R9</f>
        <v>5.5520000000000005</v>
      </c>
      <c r="S8" s="1129">
        <f>S9</f>
        <v>0.15400000000000003</v>
      </c>
      <c r="T8" s="1127">
        <f>SQRT(U8^2+V8^2)*1000/(1.73*U11)</f>
        <v>27.399257441551814</v>
      </c>
      <c r="U8" s="1128">
        <f>U9</f>
        <v>5.5450000000000008</v>
      </c>
      <c r="V8" s="1129">
        <f>V9</f>
        <v>9.8999999999999991E-2</v>
      </c>
      <c r="W8" s="1127">
        <f>SQRT(X8^2+Y8^2)*1000/(1.73*X11)</f>
        <v>28.583913689283712</v>
      </c>
      <c r="X8" s="1128">
        <f>X9</f>
        <v>5.7839999999999989</v>
      </c>
      <c r="Y8" s="1129">
        <f>Y9</f>
        <v>0.13900000000000001</v>
      </c>
      <c r="Z8" s="1127">
        <f>SQRT(AA8^2+AB8^2)*1000/(1.73*AA11)</f>
        <v>32.577459058438265</v>
      </c>
      <c r="AA8" s="1128">
        <f>AA9</f>
        <v>6.5910000000000002</v>
      </c>
      <c r="AB8" s="1129">
        <f>AB9</f>
        <v>0.19900000000000001</v>
      </c>
      <c r="AC8" s="1127">
        <f>SQRT(AD8^2+AE8^2)*1000/(1.73*AD11)</f>
        <v>37.445926869861246</v>
      </c>
      <c r="AD8" s="1128">
        <f>AD9</f>
        <v>7.5760000000000005</v>
      </c>
      <c r="AE8" s="1129">
        <f>AE9</f>
        <v>0.22800000000000001</v>
      </c>
      <c r="AF8" s="1127">
        <f>SQRT(AG8^2+AH8^2)*1000/(1.73*AG11)</f>
        <v>40.002998449379113</v>
      </c>
      <c r="AG8" s="1128">
        <f>AG9</f>
        <v>8.0889999999999986</v>
      </c>
      <c r="AH8" s="1129">
        <f>AH9</f>
        <v>0.36</v>
      </c>
      <c r="AI8" s="1127">
        <f>SQRT(AJ8^2+AK8^2)*1000/(1.73*AJ11)</f>
        <v>41.378120478302819</v>
      </c>
      <c r="AJ8" s="1128">
        <f>AJ9</f>
        <v>8.359</v>
      </c>
      <c r="AK8" s="1129">
        <f>AK9</f>
        <v>0.52300000000000002</v>
      </c>
      <c r="AL8" s="1127">
        <f>SQRT(AM8^2+AN8^2)*1000/(1.73*AM11)</f>
        <v>41.97698473877626</v>
      </c>
      <c r="AM8" s="1128">
        <f>AM9</f>
        <v>8.4809999999999999</v>
      </c>
      <c r="AN8" s="1129">
        <f>AN9</f>
        <v>0.51400000000000001</v>
      </c>
      <c r="AO8" s="1127">
        <f>SQRT(AP8^2+AQ8^2)*1000/(1.73*AP11)</f>
        <v>41.881255422649076</v>
      </c>
      <c r="AP8" s="1128">
        <f>AP9</f>
        <v>8.4580000000000002</v>
      </c>
      <c r="AQ8" s="1129">
        <f>AQ9</f>
        <v>0.57000000000000006</v>
      </c>
      <c r="AR8" s="1127">
        <f>SQRT(AS8^2+AT8^2)*1000/(1.73*AS11)</f>
        <v>41.627712254679516</v>
      </c>
      <c r="AS8" s="1128">
        <f>AS9</f>
        <v>8.4139999999999997</v>
      </c>
      <c r="AT8" s="1129">
        <f>AT9</f>
        <v>0.44700000000000001</v>
      </c>
      <c r="AU8" s="1127">
        <f>SQRT(AV8^2+AW8^2)*1000/(1.73*AV11)</f>
        <v>41.697543709672843</v>
      </c>
      <c r="AV8" s="1128">
        <f>AV9</f>
        <v>8.4209999999999994</v>
      </c>
      <c r="AW8" s="1129">
        <f>AW9</f>
        <v>0.56600000000000006</v>
      </c>
      <c r="AX8" s="1127">
        <f>SQRT(AY8^2+AZ8^2)*1000/(1.73*AY11)</f>
        <v>42.346384822064792</v>
      </c>
      <c r="AY8" s="1128">
        <f>AY9</f>
        <v>8.548</v>
      </c>
      <c r="AZ8" s="1129">
        <f>AZ9</f>
        <v>0.63200000000000001</v>
      </c>
      <c r="BA8" s="1127">
        <f>SQRT(BB8^2+BC8^2)*1000/(1.73*BB11)</f>
        <v>42.97621096688566</v>
      </c>
      <c r="BB8" s="1128">
        <f>BB9</f>
        <v>8.6859999999999999</v>
      </c>
      <c r="BC8" s="1129">
        <f>BC9</f>
        <v>0.47199999999999998</v>
      </c>
      <c r="BD8" s="1127">
        <f>SQRT(BE8^2+BF8^2)*1000/(1.73*BE11)</f>
        <v>43.464715147730907</v>
      </c>
      <c r="BE8" s="1128">
        <f>BE9</f>
        <v>8.7889999999999997</v>
      </c>
      <c r="BF8" s="1129">
        <f>BF9</f>
        <v>0.39100000000000001</v>
      </c>
      <c r="BG8" s="1127">
        <f>SQRT(BH8^2+BI8^2)*1000/(1.73*BH11)</f>
        <v>43.129097904822721</v>
      </c>
      <c r="BH8" s="1128">
        <f>BH9</f>
        <v>8.7210000000000001</v>
      </c>
      <c r="BI8" s="1129">
        <f>BI9</f>
        <v>0.39100000000000001</v>
      </c>
      <c r="BJ8" s="1127">
        <f>SQRT(BK8^2+BL8^2)*1000/(1.73*BK11)</f>
        <v>42.442937525518907</v>
      </c>
      <c r="BK8" s="1128">
        <f>BK9</f>
        <v>8.5869999999999997</v>
      </c>
      <c r="BL8" s="1129">
        <f>BL9</f>
        <v>0.25800000000000001</v>
      </c>
      <c r="BM8" s="1127">
        <f>SQRT(BN8^2+BO8^2)*1000/(1.73*BN11)</f>
        <v>41.937767424693796</v>
      </c>
      <c r="BN8" s="1128">
        <f>BN9</f>
        <v>8.4849999999999994</v>
      </c>
      <c r="BO8" s="1129">
        <f>BO9</f>
        <v>0.248</v>
      </c>
      <c r="BP8" s="1127">
        <f>SQRT(BQ8^2+BR8^2)*1000/(1.73*BQ11)</f>
        <v>40.607480525894879</v>
      </c>
      <c r="BQ8" s="1128">
        <f>BQ9</f>
        <v>8.2160000000000011</v>
      </c>
      <c r="BR8" s="1129">
        <f>BR9</f>
        <v>0.23499999999999999</v>
      </c>
      <c r="BS8" s="1127">
        <f>SQRT(BT8^2+BU8^2)*1000/(1.73*BT11)</f>
        <v>38.655313186841681</v>
      </c>
      <c r="BT8" s="1128">
        <f>BT9</f>
        <v>7.82</v>
      </c>
      <c r="BU8" s="1129">
        <f>BU9</f>
        <v>0.25700000000000001</v>
      </c>
      <c r="BV8" s="1127">
        <f>SQRT(BW8^2+BX8^2)*1000/(1.73*BW11)</f>
        <v>35.697864823750628</v>
      </c>
      <c r="BW8" s="1128">
        <f>BW9</f>
        <v>7.2230000000000008</v>
      </c>
      <c r="BX8" s="1129">
        <f>BX9</f>
        <v>0.19399999999999998</v>
      </c>
      <c r="BY8" s="1127">
        <f>SQRT(BZ8^2+CA8^2)*1000/(1.73*BZ11)</f>
        <v>32.604540938849873</v>
      </c>
      <c r="BZ8" s="1128">
        <f>BZ9</f>
        <v>6.5979999999999999</v>
      </c>
      <c r="CA8" s="1129">
        <f>CA9</f>
        <v>0.13999999999999999</v>
      </c>
    </row>
    <row r="9" spans="1:256" ht="13.5" thickBot="1" x14ac:dyDescent="0.25">
      <c r="A9" s="1130"/>
      <c r="B9" s="1131"/>
      <c r="C9" s="1079"/>
      <c r="D9" s="1132" t="s">
        <v>13</v>
      </c>
      <c r="E9" s="1079"/>
      <c r="F9" s="1133" t="s">
        <v>34</v>
      </c>
      <c r="G9" s="1134"/>
      <c r="H9" s="1135">
        <f>SQRT(I9^2+J9^2)*1000/(1.73*I12)</f>
        <v>343.30270089690674</v>
      </c>
      <c r="I9" s="1136">
        <f>I43</f>
        <v>6.1749999999999998</v>
      </c>
      <c r="J9" s="1129">
        <f>J43</f>
        <v>0.14500000000000002</v>
      </c>
      <c r="K9" s="1135">
        <f>SQRT(L9^2+M9^2)*1000/(1.73*L12)</f>
        <v>323.69163452781874</v>
      </c>
      <c r="L9" s="1136">
        <f>L43</f>
        <v>5.82</v>
      </c>
      <c r="M9" s="1129">
        <f>M43</f>
        <v>0.21199999999999999</v>
      </c>
      <c r="N9" s="1135">
        <f>SQRT(O9^2+P9^2)*1000/(1.73*O12)</f>
        <v>313.09366171925308</v>
      </c>
      <c r="O9" s="1136">
        <f>O43</f>
        <v>5.6290000000000004</v>
      </c>
      <c r="P9" s="1129">
        <f>P43</f>
        <v>0.217</v>
      </c>
      <c r="Q9" s="1135">
        <f>SQRT(R9^2+S9^2)*1000/(1.73*R12)</f>
        <v>308.7002776934782</v>
      </c>
      <c r="R9" s="1136">
        <f>R43</f>
        <v>5.5520000000000005</v>
      </c>
      <c r="S9" s="1129">
        <f>S43</f>
        <v>0.15400000000000003</v>
      </c>
      <c r="T9" s="1135">
        <f>SQRT(U9^2+V9^2)*1000/(1.73*U12)</f>
        <v>308.24164621745791</v>
      </c>
      <c r="U9" s="1136">
        <f>U43</f>
        <v>5.5450000000000008</v>
      </c>
      <c r="V9" s="1129">
        <f>V43</f>
        <v>9.8999999999999991E-2</v>
      </c>
      <c r="W9" s="1135">
        <f>SQRT(X9^2+Y9^2)*1000/(1.73*X12)</f>
        <v>321.56902900444175</v>
      </c>
      <c r="X9" s="1136">
        <f>X43</f>
        <v>5.7839999999999989</v>
      </c>
      <c r="Y9" s="1129">
        <f>Y43</f>
        <v>0.13900000000000001</v>
      </c>
      <c r="Z9" s="1135">
        <f>SQRT(AA9^2+AB9^2)*1000/(1.73*AA12)</f>
        <v>366.49641440743045</v>
      </c>
      <c r="AA9" s="1136">
        <f>AA43</f>
        <v>6.5910000000000002</v>
      </c>
      <c r="AB9" s="1129">
        <f>AB43</f>
        <v>0.19900000000000001</v>
      </c>
      <c r="AC9" s="1135">
        <f>SQRT(AD9^2+AE9^2)*1000/(1.73*AD12)</f>
        <v>421.26667728593901</v>
      </c>
      <c r="AD9" s="1136">
        <f>AD43</f>
        <v>7.5760000000000005</v>
      </c>
      <c r="AE9" s="1129">
        <f>AE43</f>
        <v>0.22800000000000001</v>
      </c>
      <c r="AF9" s="1135">
        <f>SQRT(AG9^2+AH9^2)*1000/(1.73*AG12)</f>
        <v>450.03373255551497</v>
      </c>
      <c r="AG9" s="1136">
        <f>AG43</f>
        <v>8.0889999999999986</v>
      </c>
      <c r="AH9" s="1129">
        <f>AH43</f>
        <v>0.36</v>
      </c>
      <c r="AI9" s="1135">
        <f>SQRT(AJ9^2+AK9^2)*1000/(1.73*AJ12)</f>
        <v>465.50385538090666</v>
      </c>
      <c r="AJ9" s="1136">
        <f>AJ43</f>
        <v>8.359</v>
      </c>
      <c r="AK9" s="1129">
        <f>AK43</f>
        <v>0.52300000000000002</v>
      </c>
      <c r="AL9" s="1135">
        <f>SQRT(AM9^2+AN9^2)*1000/(1.73*AM12)</f>
        <v>472.24107831123291</v>
      </c>
      <c r="AM9" s="1136">
        <f>AM43</f>
        <v>8.4809999999999999</v>
      </c>
      <c r="AN9" s="1129">
        <f>AN43</f>
        <v>0.51400000000000001</v>
      </c>
      <c r="AO9" s="1135">
        <f>SQRT(AP9^2+AQ9^2)*1000/(1.73*AP12)</f>
        <v>471.16412350480209</v>
      </c>
      <c r="AP9" s="1136">
        <f>AP43</f>
        <v>8.4580000000000002</v>
      </c>
      <c r="AQ9" s="1129">
        <f>AQ43</f>
        <v>0.57000000000000006</v>
      </c>
      <c r="AR9" s="1135">
        <f>SQRT(AS9^2+AT9^2)*1000/(1.73*AS12)</f>
        <v>468.31176286514454</v>
      </c>
      <c r="AS9" s="1136">
        <f>AS43</f>
        <v>8.4139999999999997</v>
      </c>
      <c r="AT9" s="1129">
        <f>AT43</f>
        <v>0.44700000000000001</v>
      </c>
      <c r="AU9" s="1135">
        <f>SQRT(AV9^2+AW9^2)*1000/(1.73*AV12)</f>
        <v>469.09736673381946</v>
      </c>
      <c r="AV9" s="1136">
        <f>AV43</f>
        <v>8.4209999999999994</v>
      </c>
      <c r="AW9" s="1129">
        <f>AW43</f>
        <v>0.56600000000000006</v>
      </c>
      <c r="AX9" s="1135">
        <f>SQRT(AY9^2+AZ9^2)*1000/(1.73*AY12)</f>
        <v>476.39682924822881</v>
      </c>
      <c r="AY9" s="1136">
        <f>AY43</f>
        <v>8.548</v>
      </c>
      <c r="AZ9" s="1129">
        <f>AZ43</f>
        <v>0.63200000000000001</v>
      </c>
      <c r="BA9" s="1135">
        <f>SQRT(BB9^2+BC9^2)*1000/(1.73*BB12)</f>
        <v>483.48237337746366</v>
      </c>
      <c r="BB9" s="1136">
        <f>BB43</f>
        <v>8.6859999999999999</v>
      </c>
      <c r="BC9" s="1129">
        <f>BC43</f>
        <v>0.47199999999999998</v>
      </c>
      <c r="BD9" s="1135">
        <f>SQRT(BE9^2+BF9^2)*1000/(1.73*BE12)</f>
        <v>488.97804541197269</v>
      </c>
      <c r="BE9" s="1136">
        <f>BE43</f>
        <v>8.7889999999999997</v>
      </c>
      <c r="BF9" s="1129">
        <f>BF43</f>
        <v>0.39100000000000001</v>
      </c>
      <c r="BG9" s="1135">
        <f>SQRT(BH9^2+BI9^2)*1000/(1.73*BH12)</f>
        <v>485.2023514292556</v>
      </c>
      <c r="BH9" s="1136">
        <f>BH43</f>
        <v>8.7210000000000001</v>
      </c>
      <c r="BI9" s="1129">
        <f>BI43</f>
        <v>0.39100000000000001</v>
      </c>
      <c r="BJ9" s="1135">
        <f>SQRT(BK9^2+BL9^2)*1000/(1.73*BK12)</f>
        <v>477.48304716208764</v>
      </c>
      <c r="BK9" s="1136">
        <f>BK43</f>
        <v>8.5869999999999997</v>
      </c>
      <c r="BL9" s="1129">
        <f>BL43</f>
        <v>0.25800000000000001</v>
      </c>
      <c r="BM9" s="1135">
        <f>SQRT(BN9^2+BO9^2)*1000/(1.73*BN12)</f>
        <v>471.79988352780515</v>
      </c>
      <c r="BN9" s="1136">
        <f>BN43</f>
        <v>8.4849999999999994</v>
      </c>
      <c r="BO9" s="1129">
        <f>BO43</f>
        <v>0.248</v>
      </c>
      <c r="BP9" s="1135">
        <f>SQRT(BQ9^2+BR9^2)*1000/(1.73*BQ12)</f>
        <v>456.83415591631734</v>
      </c>
      <c r="BQ9" s="1136">
        <f>BQ43</f>
        <v>8.2160000000000011</v>
      </c>
      <c r="BR9" s="1129">
        <f>BR43</f>
        <v>0.23499999999999999</v>
      </c>
      <c r="BS9" s="1135">
        <f>SQRT(BT9^2+BU9^2)*1000/(1.73*BT12)</f>
        <v>434.87227335196894</v>
      </c>
      <c r="BT9" s="1136">
        <f>BT43</f>
        <v>7.82</v>
      </c>
      <c r="BU9" s="1129">
        <f>BU43</f>
        <v>0.25700000000000001</v>
      </c>
      <c r="BV9" s="1135">
        <f>SQRT(BW9^2+BX9^2)*1000/(1.73*BW12)</f>
        <v>401.60097926719453</v>
      </c>
      <c r="BW9" s="1136">
        <f>BW43</f>
        <v>7.2230000000000008</v>
      </c>
      <c r="BX9" s="1129">
        <f>BX43</f>
        <v>0.19399999999999998</v>
      </c>
      <c r="BY9" s="1135">
        <f>SQRT(BZ9^2+CA9^2)*1000/(1.73*BZ12)</f>
        <v>366.80108556206102</v>
      </c>
      <c r="BZ9" s="1136">
        <f>BZ43</f>
        <v>6.5979999999999999</v>
      </c>
      <c r="CA9" s="1129">
        <f>CA43</f>
        <v>0.13999999999999999</v>
      </c>
    </row>
    <row r="10" spans="1:256" ht="13.5" thickBot="1" x14ac:dyDescent="0.25">
      <c r="A10" s="1137"/>
      <c r="B10" s="1138" t="s">
        <v>0</v>
      </c>
      <c r="C10" s="1139">
        <v>25</v>
      </c>
      <c r="D10" s="1140" t="s">
        <v>39</v>
      </c>
      <c r="E10" s="1141"/>
      <c r="F10" s="1141"/>
      <c r="G10" s="1142"/>
      <c r="H10" s="1143"/>
      <c r="I10" s="1144" t="s">
        <v>288</v>
      </c>
      <c r="J10" s="1145"/>
      <c r="K10" s="1143"/>
      <c r="L10" s="1144" t="s">
        <v>288</v>
      </c>
      <c r="M10" s="1145"/>
      <c r="N10" s="1143"/>
      <c r="O10" s="1144" t="s">
        <v>288</v>
      </c>
      <c r="P10" s="1145"/>
      <c r="Q10" s="1143"/>
      <c r="R10" s="1144" t="s">
        <v>288</v>
      </c>
      <c r="S10" s="1145"/>
      <c r="T10" s="1143"/>
      <c r="U10" s="1144" t="s">
        <v>288</v>
      </c>
      <c r="V10" s="1145"/>
      <c r="W10" s="1143"/>
      <c r="X10" s="1144" t="s">
        <v>288</v>
      </c>
      <c r="Y10" s="1145"/>
      <c r="Z10" s="1143"/>
      <c r="AA10" s="1144" t="s">
        <v>288</v>
      </c>
      <c r="AB10" s="1145"/>
      <c r="AC10" s="1143"/>
      <c r="AD10" s="1144" t="s">
        <v>288</v>
      </c>
      <c r="AE10" s="1145"/>
      <c r="AF10" s="1143"/>
      <c r="AG10" s="1144" t="s">
        <v>288</v>
      </c>
      <c r="AH10" s="1145"/>
      <c r="AI10" s="1143"/>
      <c r="AJ10" s="1144" t="s">
        <v>288</v>
      </c>
      <c r="AK10" s="1145"/>
      <c r="AL10" s="1143"/>
      <c r="AM10" s="1144" t="s">
        <v>288</v>
      </c>
      <c r="AN10" s="1145"/>
      <c r="AO10" s="1143"/>
      <c r="AP10" s="1144" t="s">
        <v>288</v>
      </c>
      <c r="AQ10" s="1145"/>
      <c r="AR10" s="1143"/>
      <c r="AS10" s="1144" t="s">
        <v>288</v>
      </c>
      <c r="AT10" s="1145"/>
      <c r="AU10" s="1143"/>
      <c r="AV10" s="1144" t="s">
        <v>288</v>
      </c>
      <c r="AW10" s="1145"/>
      <c r="AX10" s="1143"/>
      <c r="AY10" s="1144" t="s">
        <v>288</v>
      </c>
      <c r="AZ10" s="1145"/>
      <c r="BA10" s="1143"/>
      <c r="BB10" s="1144" t="s">
        <v>288</v>
      </c>
      <c r="BC10" s="1145"/>
      <c r="BD10" s="1143"/>
      <c r="BE10" s="1144" t="s">
        <v>288</v>
      </c>
      <c r="BF10" s="1145"/>
      <c r="BG10" s="1143"/>
      <c r="BH10" s="1144" t="s">
        <v>288</v>
      </c>
      <c r="BI10" s="1145"/>
      <c r="BJ10" s="1143"/>
      <c r="BK10" s="1144" t="s">
        <v>288</v>
      </c>
      <c r="BL10" s="1145"/>
      <c r="BM10" s="1143"/>
      <c r="BN10" s="1144" t="s">
        <v>288</v>
      </c>
      <c r="BO10" s="1145"/>
      <c r="BP10" s="1143"/>
      <c r="BQ10" s="1144" t="s">
        <v>288</v>
      </c>
      <c r="BR10" s="1145"/>
      <c r="BS10" s="1143"/>
      <c r="BT10" s="1144" t="s">
        <v>288</v>
      </c>
      <c r="BU10" s="1145"/>
      <c r="BV10" s="1143"/>
      <c r="BW10" s="1144" t="s">
        <v>288</v>
      </c>
      <c r="BX10" s="1145"/>
      <c r="BY10" s="1143"/>
      <c r="BZ10" s="1144" t="s">
        <v>288</v>
      </c>
      <c r="CA10" s="1145"/>
      <c r="CB10" s="1146"/>
      <c r="CC10" s="1146"/>
      <c r="CD10" s="1146"/>
      <c r="CE10" s="1146"/>
      <c r="CF10" s="1146"/>
      <c r="CG10" s="1146"/>
      <c r="CH10" s="1146"/>
      <c r="CI10" s="1146"/>
      <c r="CJ10" s="1146"/>
      <c r="CK10" s="1146"/>
      <c r="CL10" s="1146"/>
      <c r="CM10" s="1146"/>
      <c r="CN10" s="1146"/>
      <c r="CO10" s="1146"/>
      <c r="CP10" s="1146"/>
      <c r="CQ10" s="1146"/>
      <c r="CR10" s="1146"/>
      <c r="CS10" s="1146"/>
      <c r="CT10" s="1146"/>
      <c r="CU10" s="1146"/>
      <c r="CV10" s="1146"/>
      <c r="CW10" s="1146"/>
      <c r="CX10" s="1146"/>
      <c r="CY10" s="1146"/>
      <c r="CZ10" s="1146"/>
      <c r="DA10" s="1146"/>
      <c r="DB10" s="1146"/>
      <c r="DC10" s="1146"/>
      <c r="DD10" s="1146"/>
      <c r="DE10" s="1146"/>
      <c r="DF10" s="1146"/>
      <c r="DG10" s="1146"/>
      <c r="DH10" s="1146"/>
      <c r="DI10" s="1146"/>
      <c r="DJ10" s="1146"/>
      <c r="DK10" s="1146"/>
      <c r="DL10" s="1146"/>
      <c r="DM10" s="1146"/>
      <c r="DN10" s="1146"/>
      <c r="DO10" s="1146"/>
      <c r="DP10" s="1146"/>
      <c r="DQ10" s="1146"/>
      <c r="DR10" s="1146"/>
      <c r="DS10" s="1146"/>
      <c r="DT10" s="1146"/>
      <c r="DU10" s="1146"/>
      <c r="DV10" s="1146"/>
      <c r="DW10" s="1146"/>
      <c r="DX10" s="1146"/>
      <c r="DY10" s="1146"/>
      <c r="DZ10" s="1146"/>
      <c r="EA10" s="1146"/>
      <c r="EB10" s="1146"/>
      <c r="EC10" s="1146"/>
      <c r="ED10" s="1146"/>
      <c r="EE10" s="1146"/>
      <c r="EF10" s="1146"/>
      <c r="EG10" s="1146"/>
      <c r="EH10" s="1146"/>
      <c r="EI10" s="1146"/>
      <c r="EJ10" s="1146"/>
      <c r="EK10" s="1146"/>
      <c r="EL10" s="1146"/>
      <c r="EM10" s="1146"/>
      <c r="EN10" s="1146"/>
      <c r="EO10" s="1146"/>
      <c r="EP10" s="1146"/>
      <c r="EQ10" s="1146"/>
      <c r="ER10" s="1146"/>
      <c r="ES10" s="1146"/>
      <c r="ET10" s="1146"/>
      <c r="EU10" s="1146"/>
      <c r="EV10" s="1146"/>
      <c r="EW10" s="1146"/>
      <c r="EX10" s="1146"/>
      <c r="EY10" s="1146"/>
      <c r="EZ10" s="1146"/>
      <c r="FA10" s="1146"/>
      <c r="FB10" s="1146"/>
      <c r="FC10" s="1146"/>
      <c r="FD10" s="1146"/>
      <c r="FE10" s="1146"/>
      <c r="FF10" s="1146"/>
      <c r="FG10" s="1146"/>
      <c r="FH10" s="1146"/>
      <c r="FI10" s="1146"/>
      <c r="FJ10" s="1146"/>
      <c r="FK10" s="1146"/>
      <c r="FL10" s="1146"/>
      <c r="FM10" s="1146"/>
      <c r="FN10" s="1146"/>
      <c r="FO10" s="1146"/>
      <c r="FP10" s="1146"/>
      <c r="FQ10" s="1146"/>
      <c r="FR10" s="1146"/>
      <c r="FS10" s="1146"/>
      <c r="FT10" s="1146"/>
      <c r="FU10" s="1146"/>
      <c r="FV10" s="1146"/>
      <c r="FW10" s="1146"/>
      <c r="FX10" s="1146"/>
      <c r="FY10" s="1146"/>
      <c r="FZ10" s="1146"/>
      <c r="GA10" s="1146"/>
      <c r="GB10" s="1146"/>
      <c r="GC10" s="1146"/>
      <c r="GD10" s="1146"/>
      <c r="GE10" s="1146"/>
      <c r="GF10" s="1146"/>
      <c r="GG10" s="1146"/>
      <c r="GH10" s="1146"/>
      <c r="GI10" s="1146"/>
      <c r="GJ10" s="1146"/>
      <c r="GK10" s="1146"/>
      <c r="GL10" s="1146"/>
      <c r="GM10" s="1146"/>
      <c r="GN10" s="1146"/>
      <c r="GO10" s="1146"/>
      <c r="GP10" s="1146"/>
      <c r="GQ10" s="1146"/>
      <c r="GR10" s="1146"/>
      <c r="GS10" s="1146"/>
      <c r="GT10" s="1146"/>
      <c r="GU10" s="1146"/>
      <c r="GV10" s="1146"/>
      <c r="GW10" s="1146"/>
      <c r="GX10" s="1146"/>
      <c r="GY10" s="1146"/>
      <c r="GZ10" s="1146"/>
      <c r="HA10" s="1146"/>
      <c r="HB10" s="1146"/>
      <c r="HC10" s="1146"/>
      <c r="HD10" s="1146"/>
      <c r="HE10" s="1146"/>
      <c r="HF10" s="1146"/>
      <c r="HG10" s="1146"/>
      <c r="HH10" s="1146"/>
      <c r="HI10" s="1146"/>
      <c r="HJ10" s="1146"/>
      <c r="HK10" s="1146"/>
      <c r="HL10" s="1146"/>
      <c r="HM10" s="1146"/>
      <c r="HN10" s="1146"/>
      <c r="HO10" s="1146"/>
      <c r="HP10" s="1146"/>
      <c r="HQ10" s="1146"/>
      <c r="HR10" s="1146"/>
      <c r="HS10" s="1146"/>
      <c r="HT10" s="1146"/>
      <c r="HU10" s="1146"/>
      <c r="HV10" s="1146"/>
      <c r="HW10" s="1146"/>
      <c r="HX10" s="1146"/>
      <c r="HY10" s="1146"/>
      <c r="HZ10" s="1146"/>
      <c r="IA10" s="1146"/>
      <c r="IB10" s="1146"/>
      <c r="IC10" s="1146"/>
      <c r="ID10" s="1146"/>
      <c r="IE10" s="1146"/>
      <c r="IF10" s="1146"/>
      <c r="IG10" s="1146"/>
      <c r="IH10" s="1146"/>
      <c r="II10" s="1146"/>
      <c r="IJ10" s="1146"/>
      <c r="IK10" s="1146"/>
      <c r="IL10" s="1146"/>
      <c r="IM10" s="1146"/>
      <c r="IN10" s="1146"/>
      <c r="IO10" s="1146"/>
      <c r="IP10" s="1146"/>
      <c r="IQ10" s="1146"/>
      <c r="IR10" s="1146"/>
      <c r="IS10" s="1146"/>
      <c r="IT10" s="1146"/>
      <c r="IU10" s="1146"/>
      <c r="IV10" s="1146"/>
    </row>
    <row r="11" spans="1:256" x14ac:dyDescent="0.2">
      <c r="A11" s="1147"/>
      <c r="B11" s="1148"/>
      <c r="C11" s="1149"/>
      <c r="D11" s="1150"/>
      <c r="E11" s="1151"/>
      <c r="F11" s="1152" t="s">
        <v>33</v>
      </c>
      <c r="G11" s="1153"/>
      <c r="H11" s="1154"/>
      <c r="I11" s="1155">
        <v>117</v>
      </c>
      <c r="J11" s="1156"/>
      <c r="K11" s="1154"/>
      <c r="L11" s="1155">
        <v>117</v>
      </c>
      <c r="M11" s="1156"/>
      <c r="N11" s="1154"/>
      <c r="O11" s="1155">
        <v>117</v>
      </c>
      <c r="P11" s="1156"/>
      <c r="Q11" s="1154"/>
      <c r="R11" s="1155">
        <v>117</v>
      </c>
      <c r="S11" s="1156"/>
      <c r="T11" s="1154"/>
      <c r="U11" s="1155">
        <v>117</v>
      </c>
      <c r="V11" s="1156"/>
      <c r="W11" s="1154"/>
      <c r="X11" s="1155">
        <v>117</v>
      </c>
      <c r="Y11" s="1156"/>
      <c r="Z11" s="1154"/>
      <c r="AA11" s="1155">
        <v>117</v>
      </c>
      <c r="AB11" s="1156"/>
      <c r="AC11" s="1154"/>
      <c r="AD11" s="1155">
        <v>117</v>
      </c>
      <c r="AE11" s="1156"/>
      <c r="AF11" s="1154"/>
      <c r="AG11" s="1155">
        <v>117</v>
      </c>
      <c r="AH11" s="1156"/>
      <c r="AI11" s="1154"/>
      <c r="AJ11" s="1155">
        <v>117</v>
      </c>
      <c r="AK11" s="1156"/>
      <c r="AL11" s="1154"/>
      <c r="AM11" s="1155">
        <v>117</v>
      </c>
      <c r="AN11" s="1156"/>
      <c r="AO11" s="1154"/>
      <c r="AP11" s="1155">
        <v>117</v>
      </c>
      <c r="AQ11" s="1156"/>
      <c r="AR11" s="1154"/>
      <c r="AS11" s="1155">
        <v>117</v>
      </c>
      <c r="AT11" s="1156"/>
      <c r="AU11" s="1154"/>
      <c r="AV11" s="1155">
        <v>117</v>
      </c>
      <c r="AW11" s="1156"/>
      <c r="AX11" s="1154"/>
      <c r="AY11" s="1155">
        <v>117</v>
      </c>
      <c r="AZ11" s="1156"/>
      <c r="BA11" s="1154"/>
      <c r="BB11" s="1155">
        <v>117</v>
      </c>
      <c r="BC11" s="1156"/>
      <c r="BD11" s="1154"/>
      <c r="BE11" s="1155">
        <v>117</v>
      </c>
      <c r="BF11" s="1156"/>
      <c r="BG11" s="1154"/>
      <c r="BH11" s="1155">
        <v>117</v>
      </c>
      <c r="BI11" s="1156"/>
      <c r="BJ11" s="1154"/>
      <c r="BK11" s="1155">
        <v>117</v>
      </c>
      <c r="BL11" s="1156"/>
      <c r="BM11" s="1154"/>
      <c r="BN11" s="1155">
        <v>117</v>
      </c>
      <c r="BO11" s="1156"/>
      <c r="BP11" s="1154"/>
      <c r="BQ11" s="1155">
        <v>117</v>
      </c>
      <c r="BR11" s="1156"/>
      <c r="BS11" s="1154"/>
      <c r="BT11" s="1155">
        <v>117</v>
      </c>
      <c r="BU11" s="1156"/>
      <c r="BV11" s="1154"/>
      <c r="BW11" s="1155">
        <v>117</v>
      </c>
      <c r="BX11" s="1156"/>
      <c r="BY11" s="1154"/>
      <c r="BZ11" s="1155">
        <v>117</v>
      </c>
      <c r="CA11" s="1156"/>
      <c r="CB11" s="1157"/>
      <c r="CC11" s="1157"/>
      <c r="CD11" s="1157"/>
      <c r="CE11" s="1157"/>
      <c r="CF11" s="1157"/>
      <c r="CG11" s="1157"/>
      <c r="CH11" s="1157"/>
      <c r="CI11" s="1157"/>
      <c r="CJ11" s="1157"/>
      <c r="CK11" s="1157"/>
      <c r="CL11" s="1157"/>
      <c r="CM11" s="1157"/>
      <c r="CN11" s="1157"/>
      <c r="CO11" s="1157"/>
      <c r="CP11" s="1157"/>
      <c r="CQ11" s="1157"/>
      <c r="CR11" s="1157"/>
      <c r="CS11" s="1157"/>
      <c r="CT11" s="1157"/>
      <c r="CU11" s="1157"/>
      <c r="CV11" s="1157"/>
      <c r="CW11" s="1157"/>
      <c r="CX11" s="1157"/>
      <c r="CY11" s="1157"/>
      <c r="CZ11" s="1157"/>
      <c r="DA11" s="1157"/>
      <c r="DB11" s="1157"/>
      <c r="DC11" s="1157"/>
      <c r="DD11" s="1157"/>
      <c r="DE11" s="1157"/>
      <c r="DF11" s="1157"/>
      <c r="DG11" s="1157"/>
      <c r="DH11" s="1157"/>
      <c r="DI11" s="1157"/>
      <c r="DJ11" s="1157"/>
      <c r="DK11" s="1157"/>
      <c r="DL11" s="1157"/>
      <c r="DM11" s="1157"/>
      <c r="DN11" s="1157"/>
      <c r="DO11" s="1157"/>
      <c r="DP11" s="1157"/>
      <c r="DQ11" s="1157"/>
      <c r="DR11" s="1157"/>
      <c r="DS11" s="1157"/>
      <c r="DT11" s="1157"/>
      <c r="DU11" s="1157"/>
      <c r="DV11" s="1157"/>
      <c r="DW11" s="1157"/>
      <c r="DX11" s="1157"/>
      <c r="DY11" s="1157"/>
      <c r="DZ11" s="1157"/>
      <c r="EA11" s="1157"/>
      <c r="EB11" s="1157"/>
      <c r="EC11" s="1157"/>
      <c r="ED11" s="1157"/>
      <c r="EE11" s="1157"/>
      <c r="EF11" s="1157"/>
      <c r="EG11" s="1157"/>
      <c r="EH11" s="1157"/>
      <c r="EI11" s="1157"/>
      <c r="EJ11" s="1157"/>
      <c r="EK11" s="1157"/>
      <c r="EL11" s="1157"/>
      <c r="EM11" s="1157"/>
      <c r="EN11" s="1157"/>
      <c r="EO11" s="1157"/>
      <c r="EP11" s="1157"/>
      <c r="EQ11" s="1157"/>
      <c r="ER11" s="1157"/>
      <c r="ES11" s="1157"/>
      <c r="ET11" s="1157"/>
      <c r="EU11" s="1157"/>
      <c r="EV11" s="1157"/>
      <c r="EW11" s="1157"/>
      <c r="EX11" s="1157"/>
      <c r="EY11" s="1157"/>
      <c r="EZ11" s="1157"/>
      <c r="FA11" s="1157"/>
      <c r="FB11" s="1157"/>
      <c r="FC11" s="1157"/>
      <c r="FD11" s="1157"/>
      <c r="FE11" s="1157"/>
      <c r="FF11" s="1157"/>
      <c r="FG11" s="1157"/>
      <c r="FH11" s="1157"/>
      <c r="FI11" s="1157"/>
      <c r="FJ11" s="1157"/>
      <c r="FK11" s="1157"/>
      <c r="FL11" s="1157"/>
      <c r="FM11" s="1157"/>
      <c r="FN11" s="1157"/>
      <c r="FO11" s="1157"/>
      <c r="FP11" s="1157"/>
      <c r="FQ11" s="1157"/>
      <c r="FR11" s="1157"/>
      <c r="FS11" s="1157"/>
      <c r="FT11" s="1157"/>
      <c r="FU11" s="1157"/>
      <c r="FV11" s="1157"/>
      <c r="FW11" s="1157"/>
      <c r="FX11" s="1157"/>
      <c r="FY11" s="1157"/>
      <c r="FZ11" s="1157"/>
      <c r="GA11" s="1157"/>
      <c r="GB11" s="1157"/>
      <c r="GC11" s="1157"/>
      <c r="GD11" s="1157"/>
      <c r="GE11" s="1157"/>
      <c r="GF11" s="1157"/>
      <c r="GG11" s="1157"/>
      <c r="GH11" s="1157"/>
      <c r="GI11" s="1157"/>
      <c r="GJ11" s="1157"/>
      <c r="GK11" s="1157"/>
      <c r="GL11" s="1157"/>
      <c r="GM11" s="1157"/>
      <c r="GN11" s="1157"/>
      <c r="GO11" s="1157"/>
      <c r="GP11" s="1157"/>
      <c r="GQ11" s="1157"/>
      <c r="GR11" s="1157"/>
      <c r="GS11" s="1157"/>
      <c r="GT11" s="1157"/>
      <c r="GU11" s="1157"/>
      <c r="GV11" s="1157"/>
      <c r="GW11" s="1157"/>
      <c r="GX11" s="1157"/>
      <c r="GY11" s="1157"/>
      <c r="GZ11" s="1157"/>
      <c r="HA11" s="1157"/>
      <c r="HB11" s="1157"/>
      <c r="HC11" s="1157"/>
      <c r="HD11" s="1157"/>
      <c r="HE11" s="1157"/>
      <c r="HF11" s="1157"/>
      <c r="HG11" s="1157"/>
      <c r="HH11" s="1157"/>
      <c r="HI11" s="1157"/>
      <c r="HJ11" s="1157"/>
      <c r="HK11" s="1157"/>
      <c r="HL11" s="1157"/>
      <c r="HM11" s="1157"/>
      <c r="HN11" s="1157"/>
      <c r="HO11" s="1157"/>
      <c r="HP11" s="1157"/>
      <c r="HQ11" s="1157"/>
      <c r="HR11" s="1157"/>
      <c r="HS11" s="1157"/>
      <c r="HT11" s="1157"/>
      <c r="HU11" s="1157"/>
      <c r="HV11" s="1157"/>
      <c r="HW11" s="1157"/>
      <c r="HX11" s="1157"/>
      <c r="HY11" s="1157"/>
      <c r="HZ11" s="1157"/>
      <c r="IA11" s="1157"/>
      <c r="IB11" s="1157"/>
      <c r="IC11" s="1157"/>
      <c r="ID11" s="1157"/>
      <c r="IE11" s="1157"/>
      <c r="IF11" s="1157"/>
      <c r="IG11" s="1157"/>
      <c r="IH11" s="1157"/>
      <c r="II11" s="1157"/>
      <c r="IJ11" s="1157"/>
      <c r="IK11" s="1157"/>
      <c r="IL11" s="1157"/>
      <c r="IM11" s="1157"/>
      <c r="IN11" s="1157"/>
      <c r="IO11" s="1157"/>
      <c r="IP11" s="1157"/>
      <c r="IQ11" s="1157"/>
      <c r="IR11" s="1157"/>
      <c r="IS11" s="1157"/>
      <c r="IT11" s="1157"/>
      <c r="IU11" s="1157"/>
      <c r="IV11" s="1157"/>
    </row>
    <row r="12" spans="1:256" ht="13.5" thickBot="1" x14ac:dyDescent="0.25">
      <c r="A12" s="1150"/>
      <c r="B12" s="1158"/>
      <c r="C12" s="1159"/>
      <c r="D12" s="1150" t="s">
        <v>14</v>
      </c>
      <c r="E12" s="1158"/>
      <c r="F12" s="1160" t="s">
        <v>34</v>
      </c>
      <c r="G12" s="1161"/>
      <c r="H12" s="1154"/>
      <c r="I12" s="1162">
        <v>10.4</v>
      </c>
      <c r="J12" s="1163"/>
      <c r="K12" s="1154"/>
      <c r="L12" s="1162">
        <v>10.4</v>
      </c>
      <c r="M12" s="1163"/>
      <c r="N12" s="1154"/>
      <c r="O12" s="1162">
        <v>10.4</v>
      </c>
      <c r="P12" s="1163"/>
      <c r="Q12" s="1154"/>
      <c r="R12" s="1162">
        <v>10.4</v>
      </c>
      <c r="S12" s="1163"/>
      <c r="T12" s="1154"/>
      <c r="U12" s="1162">
        <v>10.4</v>
      </c>
      <c r="V12" s="1163"/>
      <c r="W12" s="1154"/>
      <c r="X12" s="1162">
        <v>10.4</v>
      </c>
      <c r="Y12" s="1163"/>
      <c r="Z12" s="1154"/>
      <c r="AA12" s="1162">
        <v>10.4</v>
      </c>
      <c r="AB12" s="1163"/>
      <c r="AC12" s="1154"/>
      <c r="AD12" s="1162">
        <v>10.4</v>
      </c>
      <c r="AE12" s="1163"/>
      <c r="AF12" s="1154"/>
      <c r="AG12" s="1162">
        <v>10.4</v>
      </c>
      <c r="AH12" s="1163"/>
      <c r="AI12" s="1154"/>
      <c r="AJ12" s="1162">
        <v>10.4</v>
      </c>
      <c r="AK12" s="1163"/>
      <c r="AL12" s="1154"/>
      <c r="AM12" s="1162">
        <v>10.4</v>
      </c>
      <c r="AN12" s="1163"/>
      <c r="AO12" s="1154"/>
      <c r="AP12" s="1162">
        <v>10.4</v>
      </c>
      <c r="AQ12" s="1163"/>
      <c r="AR12" s="1154"/>
      <c r="AS12" s="1162">
        <v>10.4</v>
      </c>
      <c r="AT12" s="1163"/>
      <c r="AU12" s="1154"/>
      <c r="AV12" s="1162">
        <v>10.4</v>
      </c>
      <c r="AW12" s="1163"/>
      <c r="AX12" s="1154"/>
      <c r="AY12" s="1162">
        <v>10.4</v>
      </c>
      <c r="AZ12" s="1163"/>
      <c r="BA12" s="1154"/>
      <c r="BB12" s="1162">
        <v>10.4</v>
      </c>
      <c r="BC12" s="1163"/>
      <c r="BD12" s="1154"/>
      <c r="BE12" s="1162">
        <v>10.4</v>
      </c>
      <c r="BF12" s="1163"/>
      <c r="BG12" s="1154"/>
      <c r="BH12" s="1162">
        <v>10.4</v>
      </c>
      <c r="BI12" s="1163"/>
      <c r="BJ12" s="1154"/>
      <c r="BK12" s="1162">
        <v>10.4</v>
      </c>
      <c r="BL12" s="1163"/>
      <c r="BM12" s="1154"/>
      <c r="BN12" s="1162">
        <v>10.4</v>
      </c>
      <c r="BO12" s="1163"/>
      <c r="BP12" s="1154"/>
      <c r="BQ12" s="1162">
        <v>10.4</v>
      </c>
      <c r="BR12" s="1163"/>
      <c r="BS12" s="1154"/>
      <c r="BT12" s="1162">
        <v>10.4</v>
      </c>
      <c r="BU12" s="1163"/>
      <c r="BV12" s="1154"/>
      <c r="BW12" s="1162">
        <v>10.4</v>
      </c>
      <c r="BX12" s="1163"/>
      <c r="BY12" s="1154"/>
      <c r="BZ12" s="1162">
        <v>10.4</v>
      </c>
      <c r="CA12" s="1163"/>
      <c r="CB12" s="1157"/>
      <c r="CC12" s="1157"/>
      <c r="CD12" s="1157"/>
      <c r="CE12" s="1157"/>
      <c r="CF12" s="1157"/>
      <c r="CG12" s="1157"/>
      <c r="CH12" s="1157"/>
      <c r="CI12" s="1157"/>
      <c r="CJ12" s="1157"/>
      <c r="CK12" s="1157"/>
      <c r="CL12" s="1157"/>
      <c r="CM12" s="1157"/>
      <c r="CN12" s="1157"/>
      <c r="CO12" s="1157"/>
      <c r="CP12" s="1157"/>
      <c r="CQ12" s="1157"/>
      <c r="CR12" s="1157"/>
      <c r="CS12" s="1157"/>
      <c r="CT12" s="1157"/>
      <c r="CU12" s="1157"/>
      <c r="CV12" s="1157"/>
      <c r="CW12" s="1157"/>
      <c r="CX12" s="1157"/>
      <c r="CY12" s="1157"/>
      <c r="CZ12" s="1157"/>
      <c r="DA12" s="1157"/>
      <c r="DB12" s="1157"/>
      <c r="DC12" s="1157"/>
      <c r="DD12" s="1157"/>
      <c r="DE12" s="1157"/>
      <c r="DF12" s="1157"/>
      <c r="DG12" s="1157"/>
      <c r="DH12" s="1157"/>
      <c r="DI12" s="1157"/>
      <c r="DJ12" s="1157"/>
      <c r="DK12" s="1157"/>
      <c r="DL12" s="1157"/>
      <c r="DM12" s="1157"/>
      <c r="DN12" s="1157"/>
      <c r="DO12" s="1157"/>
      <c r="DP12" s="1157"/>
      <c r="DQ12" s="1157"/>
      <c r="DR12" s="1157"/>
      <c r="DS12" s="1157"/>
      <c r="DT12" s="1157"/>
      <c r="DU12" s="1157"/>
      <c r="DV12" s="1157"/>
      <c r="DW12" s="1157"/>
      <c r="DX12" s="1157"/>
      <c r="DY12" s="1157"/>
      <c r="DZ12" s="1157"/>
      <c r="EA12" s="1157"/>
      <c r="EB12" s="1157"/>
      <c r="EC12" s="1157"/>
      <c r="ED12" s="1157"/>
      <c r="EE12" s="1157"/>
      <c r="EF12" s="1157"/>
      <c r="EG12" s="1157"/>
      <c r="EH12" s="1157"/>
      <c r="EI12" s="1157"/>
      <c r="EJ12" s="1157"/>
      <c r="EK12" s="1157"/>
      <c r="EL12" s="1157"/>
      <c r="EM12" s="1157"/>
      <c r="EN12" s="1157"/>
      <c r="EO12" s="1157"/>
      <c r="EP12" s="1157"/>
      <c r="EQ12" s="1157"/>
      <c r="ER12" s="1157"/>
      <c r="ES12" s="1157"/>
      <c r="ET12" s="1157"/>
      <c r="EU12" s="1157"/>
      <c r="EV12" s="1157"/>
      <c r="EW12" s="1157"/>
      <c r="EX12" s="1157"/>
      <c r="EY12" s="1157"/>
      <c r="EZ12" s="1157"/>
      <c r="FA12" s="1157"/>
      <c r="FB12" s="1157"/>
      <c r="FC12" s="1157"/>
      <c r="FD12" s="1157"/>
      <c r="FE12" s="1157"/>
      <c r="FF12" s="1157"/>
      <c r="FG12" s="1157"/>
      <c r="FH12" s="1157"/>
      <c r="FI12" s="1157"/>
      <c r="FJ12" s="1157"/>
      <c r="FK12" s="1157"/>
      <c r="FL12" s="1157"/>
      <c r="FM12" s="1157"/>
      <c r="FN12" s="1157"/>
      <c r="FO12" s="1157"/>
      <c r="FP12" s="1157"/>
      <c r="FQ12" s="1157"/>
      <c r="FR12" s="1157"/>
      <c r="FS12" s="1157"/>
      <c r="FT12" s="1157"/>
      <c r="FU12" s="1157"/>
      <c r="FV12" s="1157"/>
      <c r="FW12" s="1157"/>
      <c r="FX12" s="1157"/>
      <c r="FY12" s="1157"/>
      <c r="FZ12" s="1157"/>
      <c r="GA12" s="1157"/>
      <c r="GB12" s="1157"/>
      <c r="GC12" s="1157"/>
      <c r="GD12" s="1157"/>
      <c r="GE12" s="1157"/>
      <c r="GF12" s="1157"/>
      <c r="GG12" s="1157"/>
      <c r="GH12" s="1157"/>
      <c r="GI12" s="1157"/>
      <c r="GJ12" s="1157"/>
      <c r="GK12" s="1157"/>
      <c r="GL12" s="1157"/>
      <c r="GM12" s="1157"/>
      <c r="GN12" s="1157"/>
      <c r="GO12" s="1157"/>
      <c r="GP12" s="1157"/>
      <c r="GQ12" s="1157"/>
      <c r="GR12" s="1157"/>
      <c r="GS12" s="1157"/>
      <c r="GT12" s="1157"/>
      <c r="GU12" s="1157"/>
      <c r="GV12" s="1157"/>
      <c r="GW12" s="1157"/>
      <c r="GX12" s="1157"/>
      <c r="GY12" s="1157"/>
      <c r="GZ12" s="1157"/>
      <c r="HA12" s="1157"/>
      <c r="HB12" s="1157"/>
      <c r="HC12" s="1157"/>
      <c r="HD12" s="1157"/>
      <c r="HE12" s="1157"/>
      <c r="HF12" s="1157"/>
      <c r="HG12" s="1157"/>
      <c r="HH12" s="1157"/>
      <c r="HI12" s="1157"/>
      <c r="HJ12" s="1157"/>
      <c r="HK12" s="1157"/>
      <c r="HL12" s="1157"/>
      <c r="HM12" s="1157"/>
      <c r="HN12" s="1157"/>
      <c r="HO12" s="1157"/>
      <c r="HP12" s="1157"/>
      <c r="HQ12" s="1157"/>
      <c r="HR12" s="1157"/>
      <c r="HS12" s="1157"/>
      <c r="HT12" s="1157"/>
      <c r="HU12" s="1157"/>
      <c r="HV12" s="1157"/>
      <c r="HW12" s="1157"/>
      <c r="HX12" s="1157"/>
      <c r="HY12" s="1157"/>
      <c r="HZ12" s="1157"/>
      <c r="IA12" s="1157"/>
      <c r="IB12" s="1157"/>
      <c r="IC12" s="1157"/>
      <c r="ID12" s="1157"/>
      <c r="IE12" s="1157"/>
      <c r="IF12" s="1157"/>
      <c r="IG12" s="1157"/>
      <c r="IH12" s="1157"/>
      <c r="II12" s="1157"/>
      <c r="IJ12" s="1157"/>
      <c r="IK12" s="1157"/>
      <c r="IL12" s="1157"/>
      <c r="IM12" s="1157"/>
      <c r="IN12" s="1157"/>
      <c r="IO12" s="1157"/>
      <c r="IP12" s="1157"/>
      <c r="IQ12" s="1157"/>
      <c r="IR12" s="1157"/>
      <c r="IS12" s="1157"/>
      <c r="IT12" s="1157"/>
      <c r="IU12" s="1157"/>
      <c r="IV12" s="1157"/>
    </row>
    <row r="13" spans="1:256" ht="13.5" thickBot="1" x14ac:dyDescent="0.25">
      <c r="A13" s="1150"/>
      <c r="B13" s="1158"/>
      <c r="C13" s="1164"/>
      <c r="D13" s="1165" t="s">
        <v>83</v>
      </c>
      <c r="E13" s="1166"/>
      <c r="F13" s="1166"/>
      <c r="G13" s="1167"/>
      <c r="H13" s="1168"/>
      <c r="I13" s="1169"/>
      <c r="J13" s="1170"/>
      <c r="K13" s="1168"/>
      <c r="L13" s="1169"/>
      <c r="M13" s="1170"/>
      <c r="N13" s="1168"/>
      <c r="O13" s="1169"/>
      <c r="P13" s="1170"/>
      <c r="Q13" s="1168"/>
      <c r="R13" s="1169"/>
      <c r="S13" s="1170"/>
      <c r="T13" s="1168"/>
      <c r="U13" s="1169"/>
      <c r="V13" s="1170"/>
      <c r="W13" s="1168"/>
      <c r="X13" s="1169"/>
      <c r="Y13" s="1170"/>
      <c r="Z13" s="1168"/>
      <c r="AA13" s="1169"/>
      <c r="AB13" s="1170"/>
      <c r="AC13" s="1168"/>
      <c r="AD13" s="1169"/>
      <c r="AE13" s="1170"/>
      <c r="AF13" s="1168"/>
      <c r="AG13" s="1169"/>
      <c r="AH13" s="1170"/>
      <c r="AI13" s="1168"/>
      <c r="AJ13" s="1169"/>
      <c r="AK13" s="1170"/>
      <c r="AL13" s="1168"/>
      <c r="AM13" s="1169"/>
      <c r="AN13" s="1170"/>
      <c r="AO13" s="1168"/>
      <c r="AP13" s="1169"/>
      <c r="AQ13" s="1170"/>
      <c r="AR13" s="1168"/>
      <c r="AS13" s="1169"/>
      <c r="AT13" s="1170"/>
      <c r="AU13" s="1168"/>
      <c r="AV13" s="1169"/>
      <c r="AW13" s="1170"/>
      <c r="AX13" s="1168"/>
      <c r="AY13" s="1169"/>
      <c r="AZ13" s="1170"/>
      <c r="BA13" s="1168"/>
      <c r="BB13" s="1169"/>
      <c r="BC13" s="1170"/>
      <c r="BD13" s="1168"/>
      <c r="BE13" s="1169"/>
      <c r="BF13" s="1170"/>
      <c r="BG13" s="1168"/>
      <c r="BH13" s="1169"/>
      <c r="BI13" s="1170"/>
      <c r="BJ13" s="1168"/>
      <c r="BK13" s="1169"/>
      <c r="BL13" s="1170"/>
      <c r="BM13" s="1168"/>
      <c r="BN13" s="1169"/>
      <c r="BO13" s="1170"/>
      <c r="BP13" s="1168"/>
      <c r="BQ13" s="1169"/>
      <c r="BR13" s="1170"/>
      <c r="BS13" s="1168"/>
      <c r="BT13" s="1169"/>
      <c r="BU13" s="1170"/>
      <c r="BV13" s="1168"/>
      <c r="BW13" s="1169"/>
      <c r="BX13" s="1170"/>
      <c r="BY13" s="1168"/>
      <c r="BZ13" s="1169"/>
      <c r="CA13" s="1170"/>
      <c r="CB13" s="1157"/>
      <c r="CC13" s="1157"/>
      <c r="CD13" s="1157"/>
      <c r="CE13" s="1157"/>
      <c r="CF13" s="1157"/>
      <c r="CG13" s="1157"/>
      <c r="CH13" s="1157"/>
      <c r="CI13" s="1157"/>
      <c r="CJ13" s="1157"/>
      <c r="CK13" s="1157"/>
      <c r="CL13" s="1157"/>
      <c r="CM13" s="1157"/>
      <c r="CN13" s="1157"/>
      <c r="CO13" s="1157"/>
      <c r="CP13" s="1157"/>
      <c r="CQ13" s="1157"/>
      <c r="CR13" s="1157"/>
      <c r="CS13" s="1157"/>
      <c r="CT13" s="1157"/>
      <c r="CU13" s="1157"/>
      <c r="CV13" s="1157"/>
      <c r="CW13" s="1157"/>
      <c r="CX13" s="1157"/>
      <c r="CY13" s="1157"/>
      <c r="CZ13" s="1157"/>
      <c r="DA13" s="1157"/>
      <c r="DB13" s="1157"/>
      <c r="DC13" s="1157"/>
      <c r="DD13" s="1157"/>
      <c r="DE13" s="1157"/>
      <c r="DF13" s="1157"/>
      <c r="DG13" s="1157"/>
      <c r="DH13" s="1157"/>
      <c r="DI13" s="1157"/>
      <c r="DJ13" s="1157"/>
      <c r="DK13" s="1157"/>
      <c r="DL13" s="1157"/>
      <c r="DM13" s="1157"/>
      <c r="DN13" s="1157"/>
      <c r="DO13" s="1157"/>
      <c r="DP13" s="1157"/>
      <c r="DQ13" s="1157"/>
      <c r="DR13" s="1157"/>
      <c r="DS13" s="1157"/>
      <c r="DT13" s="1157"/>
      <c r="DU13" s="1157"/>
      <c r="DV13" s="1157"/>
      <c r="DW13" s="1157"/>
      <c r="DX13" s="1157"/>
      <c r="DY13" s="1157"/>
      <c r="DZ13" s="1157"/>
      <c r="EA13" s="1157"/>
      <c r="EB13" s="1157"/>
      <c r="EC13" s="1157"/>
      <c r="ED13" s="1157"/>
      <c r="EE13" s="1157"/>
      <c r="EF13" s="1157"/>
      <c r="EG13" s="1157"/>
      <c r="EH13" s="1157"/>
      <c r="EI13" s="1157"/>
      <c r="EJ13" s="1157"/>
      <c r="EK13" s="1157"/>
      <c r="EL13" s="1157"/>
      <c r="EM13" s="1157"/>
      <c r="EN13" s="1157"/>
      <c r="EO13" s="1157"/>
      <c r="EP13" s="1157"/>
      <c r="EQ13" s="1157"/>
      <c r="ER13" s="1157"/>
      <c r="ES13" s="1157"/>
      <c r="ET13" s="1157"/>
      <c r="EU13" s="1157"/>
      <c r="EV13" s="1157"/>
      <c r="EW13" s="1157"/>
      <c r="EX13" s="1157"/>
      <c r="EY13" s="1157"/>
      <c r="EZ13" s="1157"/>
      <c r="FA13" s="1157"/>
      <c r="FB13" s="1157"/>
      <c r="FC13" s="1157"/>
      <c r="FD13" s="1157"/>
      <c r="FE13" s="1157"/>
      <c r="FF13" s="1157"/>
      <c r="FG13" s="1157"/>
      <c r="FH13" s="1157"/>
      <c r="FI13" s="1157"/>
      <c r="FJ13" s="1157"/>
      <c r="FK13" s="1157"/>
      <c r="FL13" s="1157"/>
      <c r="FM13" s="1157"/>
      <c r="FN13" s="1157"/>
      <c r="FO13" s="1157"/>
      <c r="FP13" s="1157"/>
      <c r="FQ13" s="1157"/>
      <c r="FR13" s="1157"/>
      <c r="FS13" s="1157"/>
      <c r="FT13" s="1157"/>
      <c r="FU13" s="1157"/>
      <c r="FV13" s="1157"/>
      <c r="FW13" s="1157"/>
      <c r="FX13" s="1157"/>
      <c r="FY13" s="1157"/>
      <c r="FZ13" s="1157"/>
      <c r="GA13" s="1157"/>
      <c r="GB13" s="1157"/>
      <c r="GC13" s="1157"/>
      <c r="GD13" s="1157"/>
      <c r="GE13" s="1157"/>
      <c r="GF13" s="1157"/>
      <c r="GG13" s="1157"/>
      <c r="GH13" s="1157"/>
      <c r="GI13" s="1157"/>
      <c r="GJ13" s="1157"/>
      <c r="GK13" s="1157"/>
      <c r="GL13" s="1157"/>
      <c r="GM13" s="1157"/>
      <c r="GN13" s="1157"/>
      <c r="GO13" s="1157"/>
      <c r="GP13" s="1157"/>
      <c r="GQ13" s="1157"/>
      <c r="GR13" s="1157"/>
      <c r="GS13" s="1157"/>
      <c r="GT13" s="1157"/>
      <c r="GU13" s="1157"/>
      <c r="GV13" s="1157"/>
      <c r="GW13" s="1157"/>
      <c r="GX13" s="1157"/>
      <c r="GY13" s="1157"/>
      <c r="GZ13" s="1157"/>
      <c r="HA13" s="1157"/>
      <c r="HB13" s="1157"/>
      <c r="HC13" s="1157"/>
      <c r="HD13" s="1157"/>
      <c r="HE13" s="1157"/>
      <c r="HF13" s="1157"/>
      <c r="HG13" s="1157"/>
      <c r="HH13" s="1157"/>
      <c r="HI13" s="1157"/>
      <c r="HJ13" s="1157"/>
      <c r="HK13" s="1157"/>
      <c r="HL13" s="1157"/>
      <c r="HM13" s="1157"/>
      <c r="HN13" s="1157"/>
      <c r="HO13" s="1157"/>
      <c r="HP13" s="1157"/>
      <c r="HQ13" s="1157"/>
      <c r="HR13" s="1157"/>
      <c r="HS13" s="1157"/>
      <c r="HT13" s="1157"/>
      <c r="HU13" s="1157"/>
      <c r="HV13" s="1157"/>
      <c r="HW13" s="1157"/>
      <c r="HX13" s="1157"/>
      <c r="HY13" s="1157"/>
      <c r="HZ13" s="1157"/>
      <c r="IA13" s="1157"/>
      <c r="IB13" s="1157"/>
      <c r="IC13" s="1157"/>
      <c r="ID13" s="1157"/>
      <c r="IE13" s="1157"/>
      <c r="IF13" s="1157"/>
      <c r="IG13" s="1157"/>
      <c r="IH13" s="1157"/>
      <c r="II13" s="1157"/>
      <c r="IJ13" s="1157"/>
      <c r="IK13" s="1157"/>
      <c r="IL13" s="1157"/>
      <c r="IM13" s="1157"/>
      <c r="IN13" s="1157"/>
      <c r="IO13" s="1157"/>
      <c r="IP13" s="1157"/>
      <c r="IQ13" s="1157"/>
      <c r="IR13" s="1157"/>
      <c r="IS13" s="1157"/>
      <c r="IT13" s="1157"/>
      <c r="IU13" s="1157"/>
      <c r="IV13" s="1157"/>
    </row>
    <row r="14" spans="1:256" x14ac:dyDescent="0.2">
      <c r="A14" s="1171"/>
      <c r="B14" s="1172"/>
      <c r="C14" s="1173"/>
      <c r="D14" s="1152"/>
      <c r="E14" s="1174"/>
      <c r="F14" s="1152" t="s">
        <v>33</v>
      </c>
      <c r="G14" s="1175"/>
      <c r="H14" s="1176">
        <f>SQRT(I14^2+J14^2)*1000/(1.73*I17)</f>
        <v>18.673143295113036</v>
      </c>
      <c r="I14" s="1128">
        <f>I15</f>
        <v>3.7769999999999992</v>
      </c>
      <c r="J14" s="1129">
        <f>J15</f>
        <v>0.14100000000000001</v>
      </c>
      <c r="K14" s="1176">
        <f>SQRT(L14^2+M14^2)*1000/(1.73*L17)</f>
        <v>17.678127906932716</v>
      </c>
      <c r="L14" s="1128">
        <f>L15</f>
        <v>3.5750000000000002</v>
      </c>
      <c r="M14" s="1129">
        <f>M15</f>
        <v>0.15200000000000002</v>
      </c>
      <c r="N14" s="1176">
        <f>SQRT(O14^2+P14^2)*1000/(1.73*O17)</f>
        <v>17.253643498415737</v>
      </c>
      <c r="O14" s="1128">
        <f>O15</f>
        <v>3.4899999999999998</v>
      </c>
      <c r="P14" s="1129">
        <f>P15</f>
        <v>0.127</v>
      </c>
      <c r="Q14" s="1176">
        <f>SQRT(R14^2+S14^2)*1000/(1.73*R17)</f>
        <v>16.973191171903849</v>
      </c>
      <c r="R14" s="1128">
        <f>R15</f>
        <v>3.4320000000000004</v>
      </c>
      <c r="S14" s="1129">
        <f>S15</f>
        <v>0.15600000000000003</v>
      </c>
      <c r="T14" s="1176">
        <f>SQRT(U14^2+V14^2)*1000/(1.73*U17)</f>
        <v>16.998416593239206</v>
      </c>
      <c r="U14" s="1128">
        <f>U15</f>
        <v>3.4380000000000002</v>
      </c>
      <c r="V14" s="1129">
        <f>V15</f>
        <v>0.13500000000000001</v>
      </c>
      <c r="W14" s="1176">
        <f>SQRT(X14^2+Y14^2)*1000/(1.73*X17)</f>
        <v>17.597398282035417</v>
      </c>
      <c r="X14" s="1128">
        <f>X15</f>
        <v>3.56</v>
      </c>
      <c r="Y14" s="1129">
        <f>Y15</f>
        <v>0.11599999999999999</v>
      </c>
      <c r="Z14" s="1176">
        <f>SQRT(AA14^2+AB14^2)*1000/(1.73*AA17)</f>
        <v>19.75386058748613</v>
      </c>
      <c r="AA14" s="1128">
        <f>AA15</f>
        <v>3.9970000000000003</v>
      </c>
      <c r="AB14" s="1129">
        <f>AB15</f>
        <v>0.105</v>
      </c>
      <c r="AC14" s="1176">
        <f>SQRT(AD14^2+AE14^2)*1000/(1.73*AD17)</f>
        <v>22.489314066546296</v>
      </c>
      <c r="AD14" s="1128">
        <f>AD15</f>
        <v>4.55</v>
      </c>
      <c r="AE14" s="1129">
        <f>AE15</f>
        <v>0.13700000000000001</v>
      </c>
      <c r="AF14" s="1176">
        <f>SQRT(AG14^2+AH14^2)*1000/(1.73*AG17)</f>
        <v>23.604811693373037</v>
      </c>
      <c r="AG14" s="1128">
        <f>AG15</f>
        <v>4.7750000000000004</v>
      </c>
      <c r="AH14" s="1129">
        <f>AH15</f>
        <v>0.16499999999999998</v>
      </c>
      <c r="AI14" s="1176">
        <f>SQRT(AJ14^2+AK14^2)*1000/(1.73*AJ17)</f>
        <v>23.740282317535716</v>
      </c>
      <c r="AJ14" s="1128">
        <f>AJ15</f>
        <v>4.8</v>
      </c>
      <c r="AK14" s="1129">
        <f>AK15</f>
        <v>0.22499999999999998</v>
      </c>
      <c r="AL14" s="1176">
        <f>SQRT(AM14^2+AN14^2)*1000/(1.73*AM17)</f>
        <v>23.807783666651193</v>
      </c>
      <c r="AM14" s="1128">
        <f>AM15</f>
        <v>4.8140000000000001</v>
      </c>
      <c r="AN14" s="1129">
        <f>AN15</f>
        <v>0.21800000000000003</v>
      </c>
      <c r="AO14" s="1176">
        <f>SQRT(AP14^2+AQ14^2)*1000/(1.73*AP17)</f>
        <v>24.048311952874002</v>
      </c>
      <c r="AP14" s="1128">
        <f>AP15</f>
        <v>4.8630000000000004</v>
      </c>
      <c r="AQ14" s="1129">
        <f>AQ15</f>
        <v>0.21200000000000002</v>
      </c>
      <c r="AR14" s="1176">
        <f>SQRT(AS14^2+AT14^2)*1000/(1.73*AS17)</f>
        <v>23.954386783967546</v>
      </c>
      <c r="AS14" s="1128">
        <f>AS15</f>
        <v>4.8449999999999998</v>
      </c>
      <c r="AT14" s="1129">
        <f>AT15</f>
        <v>0.187</v>
      </c>
      <c r="AU14" s="1176">
        <f>SQRT(AV14^2+AW14^2)*1000/(1.73*AV17)</f>
        <v>23.972003480276854</v>
      </c>
      <c r="AV14" s="1128">
        <f>AV15</f>
        <v>4.8470000000000004</v>
      </c>
      <c r="AW14" s="1129">
        <f>AW15</f>
        <v>0.224</v>
      </c>
      <c r="AX14" s="1176">
        <f>SQRT(AY14^2+AZ14^2)*1000/(1.73*AY17)</f>
        <v>23.873619415820215</v>
      </c>
      <c r="AY14" s="1128">
        <f>AY15</f>
        <v>4.8230000000000004</v>
      </c>
      <c r="AZ14" s="1129">
        <f>AZ15</f>
        <v>0.29899999999999999</v>
      </c>
      <c r="BA14" s="1176">
        <f>SQRT(BB14^2+BC14^2)*1000/(1.73*BB17)</f>
        <v>24.355608210673477</v>
      </c>
      <c r="BB14" s="1128">
        <f>BB15</f>
        <v>4.9260000000000002</v>
      </c>
      <c r="BC14" s="1129">
        <f>BC15</f>
        <v>0.19400000000000001</v>
      </c>
      <c r="BD14" s="1176">
        <f>SQRT(BE14^2+BF14^2)*1000/(1.73*BE17)</f>
        <v>24.991512279491342</v>
      </c>
      <c r="BE14" s="1128">
        <f>BE15</f>
        <v>5.0549999999999997</v>
      </c>
      <c r="BF14" s="1129">
        <f>BF15</f>
        <v>0.189</v>
      </c>
      <c r="BG14" s="1176">
        <f>SQRT(BH14^2+BI14^2)*1000/(1.73*BH17)</f>
        <v>25.069448865287423</v>
      </c>
      <c r="BH14" s="1128">
        <f>BH15</f>
        <v>5.0719999999999992</v>
      </c>
      <c r="BI14" s="1129">
        <f>BI15</f>
        <v>0.15299999999999997</v>
      </c>
      <c r="BJ14" s="1176">
        <f>SQRT(BK14^2+BL14^2)*1000/(1.73*BK17)</f>
        <v>25.332485262804106</v>
      </c>
      <c r="BK14" s="1128">
        <f>BK15</f>
        <v>5.1260000000000003</v>
      </c>
      <c r="BL14" s="1129">
        <f>BL15</f>
        <v>0.126</v>
      </c>
      <c r="BM14" s="1176">
        <f>SQRT(BN14^2+BO14^2)*1000/(1.73*BN17)</f>
        <v>25.604371922030712</v>
      </c>
      <c r="BN14" s="1128">
        <f>BN15</f>
        <v>5.1809999999999992</v>
      </c>
      <c r="BO14" s="1129">
        <f>BO15</f>
        <v>0.128</v>
      </c>
      <c r="BP14" s="1176">
        <f>SQRT(BQ14^2+BR14^2)*1000/(1.73*BQ17)</f>
        <v>25.392428290894642</v>
      </c>
      <c r="BQ14" s="1128">
        <f>BQ15</f>
        <v>5.1370000000000005</v>
      </c>
      <c r="BR14" s="1129">
        <f>BR15</f>
        <v>0.16600000000000001</v>
      </c>
      <c r="BS14" s="1176">
        <f>SQRT(BT14^2+BU14^2)*1000/(1.73*BT17)</f>
        <v>24.20344997888099</v>
      </c>
      <c r="BT14" s="1128">
        <f>BT15</f>
        <v>4.8959999999999999</v>
      </c>
      <c r="BU14" s="1129">
        <f>BU15</f>
        <v>0.17200000000000001</v>
      </c>
      <c r="BV14" s="1176">
        <f>SQRT(BW14^2+BX14^2)*1000/(1.73*BW17)</f>
        <v>22.863160288618733</v>
      </c>
      <c r="BW14" s="1128">
        <f>BW15</f>
        <v>4.625</v>
      </c>
      <c r="BX14" s="1129">
        <f>BX15</f>
        <v>0.15899999999999997</v>
      </c>
      <c r="BY14" s="1176">
        <f>SQRT(BZ14^2+CA14^2)*1000/(1.73*BZ17)</f>
        <v>21.065589748484317</v>
      </c>
      <c r="BZ14" s="1128">
        <f>BZ15</f>
        <v>4.26</v>
      </c>
      <c r="CA14" s="1129">
        <f>CA15</f>
        <v>0.182</v>
      </c>
      <c r="CB14" s="1157"/>
      <c r="CC14" s="1157"/>
      <c r="CD14" s="1157"/>
      <c r="CE14" s="1157"/>
      <c r="CF14" s="1157"/>
      <c r="CG14" s="1157"/>
      <c r="CH14" s="1157"/>
      <c r="CI14" s="1157"/>
      <c r="CJ14" s="1157"/>
      <c r="CK14" s="1157"/>
      <c r="CL14" s="1157"/>
      <c r="CM14" s="1157"/>
      <c r="CN14" s="1157"/>
      <c r="CO14" s="1157"/>
      <c r="CP14" s="1157"/>
      <c r="CQ14" s="1157"/>
      <c r="CR14" s="1157"/>
      <c r="CS14" s="1157"/>
      <c r="CT14" s="1157"/>
      <c r="CU14" s="1157"/>
      <c r="CV14" s="1157"/>
      <c r="CW14" s="1157"/>
      <c r="CX14" s="1157"/>
      <c r="CY14" s="1157"/>
      <c r="CZ14" s="1157"/>
      <c r="DA14" s="1157"/>
      <c r="DB14" s="1157"/>
      <c r="DC14" s="1157"/>
      <c r="DD14" s="1157"/>
      <c r="DE14" s="1157"/>
      <c r="DF14" s="1157"/>
      <c r="DG14" s="1157"/>
      <c r="DH14" s="1157"/>
      <c r="DI14" s="1157"/>
      <c r="DJ14" s="1157"/>
      <c r="DK14" s="1157"/>
      <c r="DL14" s="1157"/>
      <c r="DM14" s="1157"/>
      <c r="DN14" s="1157"/>
      <c r="DO14" s="1157"/>
      <c r="DP14" s="1157"/>
      <c r="DQ14" s="1157"/>
      <c r="DR14" s="1157"/>
      <c r="DS14" s="1157"/>
      <c r="DT14" s="1157"/>
      <c r="DU14" s="1157"/>
      <c r="DV14" s="1157"/>
      <c r="DW14" s="1157"/>
      <c r="DX14" s="1157"/>
      <c r="DY14" s="1157"/>
      <c r="DZ14" s="1157"/>
      <c r="EA14" s="1157"/>
      <c r="EB14" s="1157"/>
      <c r="EC14" s="1157"/>
      <c r="ED14" s="1157"/>
      <c r="EE14" s="1157"/>
      <c r="EF14" s="1157"/>
      <c r="EG14" s="1157"/>
      <c r="EH14" s="1157"/>
      <c r="EI14" s="1157"/>
      <c r="EJ14" s="1157"/>
      <c r="EK14" s="1157"/>
      <c r="EL14" s="1157"/>
      <c r="EM14" s="1157"/>
      <c r="EN14" s="1157"/>
      <c r="EO14" s="1157"/>
      <c r="EP14" s="1157"/>
      <c r="EQ14" s="1157"/>
      <c r="ER14" s="1157"/>
      <c r="ES14" s="1157"/>
      <c r="ET14" s="1157"/>
      <c r="EU14" s="1157"/>
      <c r="EV14" s="1157"/>
      <c r="EW14" s="1157"/>
      <c r="EX14" s="1157"/>
      <c r="EY14" s="1157"/>
      <c r="EZ14" s="1157"/>
      <c r="FA14" s="1157"/>
      <c r="FB14" s="1157"/>
      <c r="FC14" s="1157"/>
      <c r="FD14" s="1157"/>
      <c r="FE14" s="1157"/>
      <c r="FF14" s="1157"/>
      <c r="FG14" s="1157"/>
      <c r="FH14" s="1157"/>
      <c r="FI14" s="1157"/>
      <c r="FJ14" s="1157"/>
      <c r="FK14" s="1157"/>
      <c r="FL14" s="1157"/>
      <c r="FM14" s="1157"/>
      <c r="FN14" s="1157"/>
      <c r="FO14" s="1157"/>
      <c r="FP14" s="1157"/>
      <c r="FQ14" s="1157"/>
      <c r="FR14" s="1157"/>
      <c r="FS14" s="1157"/>
      <c r="FT14" s="1157"/>
      <c r="FU14" s="1157"/>
      <c r="FV14" s="1157"/>
      <c r="FW14" s="1157"/>
      <c r="FX14" s="1157"/>
      <c r="FY14" s="1157"/>
      <c r="FZ14" s="1157"/>
      <c r="GA14" s="1157"/>
      <c r="GB14" s="1157"/>
      <c r="GC14" s="1157"/>
      <c r="GD14" s="1157"/>
      <c r="GE14" s="1157"/>
      <c r="GF14" s="1157"/>
      <c r="GG14" s="1157"/>
      <c r="GH14" s="1157"/>
      <c r="GI14" s="1157"/>
      <c r="GJ14" s="1157"/>
      <c r="GK14" s="1157"/>
      <c r="GL14" s="1157"/>
      <c r="GM14" s="1157"/>
      <c r="GN14" s="1157"/>
      <c r="GO14" s="1157"/>
      <c r="GP14" s="1157"/>
      <c r="GQ14" s="1157"/>
      <c r="GR14" s="1157"/>
      <c r="GS14" s="1157"/>
      <c r="GT14" s="1157"/>
      <c r="GU14" s="1157"/>
      <c r="GV14" s="1157"/>
      <c r="GW14" s="1157"/>
      <c r="GX14" s="1157"/>
      <c r="GY14" s="1157"/>
      <c r="GZ14" s="1157"/>
      <c r="HA14" s="1157"/>
      <c r="HB14" s="1157"/>
      <c r="HC14" s="1157"/>
      <c r="HD14" s="1157"/>
      <c r="HE14" s="1157"/>
      <c r="HF14" s="1157"/>
      <c r="HG14" s="1157"/>
      <c r="HH14" s="1157"/>
      <c r="HI14" s="1157"/>
      <c r="HJ14" s="1157"/>
      <c r="HK14" s="1157"/>
      <c r="HL14" s="1157"/>
      <c r="HM14" s="1157"/>
      <c r="HN14" s="1157"/>
      <c r="HO14" s="1157"/>
      <c r="HP14" s="1157"/>
      <c r="HQ14" s="1157"/>
      <c r="HR14" s="1157"/>
      <c r="HS14" s="1157"/>
      <c r="HT14" s="1157"/>
      <c r="HU14" s="1157"/>
      <c r="HV14" s="1157"/>
      <c r="HW14" s="1157"/>
      <c r="HX14" s="1157"/>
      <c r="HY14" s="1157"/>
      <c r="HZ14" s="1157"/>
      <c r="IA14" s="1157"/>
      <c r="IB14" s="1157"/>
      <c r="IC14" s="1157"/>
      <c r="ID14" s="1157"/>
      <c r="IE14" s="1157"/>
      <c r="IF14" s="1157"/>
      <c r="IG14" s="1157"/>
      <c r="IH14" s="1157"/>
      <c r="II14" s="1157"/>
      <c r="IJ14" s="1157"/>
      <c r="IK14" s="1157"/>
      <c r="IL14" s="1157"/>
      <c r="IM14" s="1157"/>
      <c r="IN14" s="1157"/>
      <c r="IO14" s="1157"/>
      <c r="IP14" s="1157"/>
      <c r="IQ14" s="1157"/>
      <c r="IR14" s="1157"/>
      <c r="IS14" s="1157"/>
      <c r="IT14" s="1157"/>
      <c r="IU14" s="1157"/>
      <c r="IV14" s="1157"/>
    </row>
    <row r="15" spans="1:256" ht="13.5" thickBot="1" x14ac:dyDescent="0.25">
      <c r="A15" s="1147"/>
      <c r="B15" s="1151"/>
      <c r="C15" s="1177"/>
      <c r="D15" s="1150" t="s">
        <v>13</v>
      </c>
      <c r="E15" s="1151"/>
      <c r="F15" s="1160" t="s">
        <v>34</v>
      </c>
      <c r="G15" s="1178"/>
      <c r="H15" s="1179">
        <f>SQRT(I15^2+J15^2)*1000/(1.73*I18)</f>
        <v>210.07286207002164</v>
      </c>
      <c r="I15" s="1136">
        <f>I44</f>
        <v>3.7769999999999992</v>
      </c>
      <c r="J15" s="1129">
        <f>J44</f>
        <v>0.14100000000000001</v>
      </c>
      <c r="K15" s="1179">
        <f>SQRT(L15^2+M15^2)*1000/(1.73*L18)</f>
        <v>198.87893895299302</v>
      </c>
      <c r="L15" s="1136">
        <f>L44</f>
        <v>3.5750000000000002</v>
      </c>
      <c r="M15" s="1129">
        <f>M44</f>
        <v>0.15200000000000002</v>
      </c>
      <c r="N15" s="1179">
        <f>SQRT(O15^2+P15^2)*1000/(1.73*O18)</f>
        <v>194.10348935717704</v>
      </c>
      <c r="O15" s="1136">
        <f>O44</f>
        <v>3.4899999999999998</v>
      </c>
      <c r="P15" s="1129">
        <f>P44</f>
        <v>0.127</v>
      </c>
      <c r="Q15" s="1179">
        <f>SQRT(R15^2+S15^2)*1000/(1.73*R18)</f>
        <v>190.94840068391827</v>
      </c>
      <c r="R15" s="1136">
        <f>R44</f>
        <v>3.4320000000000004</v>
      </c>
      <c r="S15" s="1129">
        <f>S44</f>
        <v>0.15600000000000003</v>
      </c>
      <c r="T15" s="1179">
        <f>SQRT(U15^2+V15^2)*1000/(1.73*U18)</f>
        <v>191.23218667394104</v>
      </c>
      <c r="U15" s="1136">
        <f>U44</f>
        <v>3.4380000000000002</v>
      </c>
      <c r="V15" s="1129">
        <f>V44</f>
        <v>0.13500000000000001</v>
      </c>
      <c r="W15" s="1179">
        <f>SQRT(X15^2+Y15^2)*1000/(1.73*X18)</f>
        <v>197.97073067289844</v>
      </c>
      <c r="X15" s="1136">
        <f>X44</f>
        <v>3.56</v>
      </c>
      <c r="Y15" s="1129">
        <f>Y44</f>
        <v>0.11599999999999999</v>
      </c>
      <c r="Z15" s="1179">
        <f>SQRT(AA15^2+AB15^2)*1000/(1.73*AA18)</f>
        <v>222.23093160921897</v>
      </c>
      <c r="AA15" s="1136">
        <f>AA44</f>
        <v>3.9970000000000003</v>
      </c>
      <c r="AB15" s="1129">
        <f>AB44</f>
        <v>0.105</v>
      </c>
      <c r="AC15" s="1179">
        <f>SQRT(AD15^2+AE15^2)*1000/(1.73*AD18)</f>
        <v>253.00478324864582</v>
      </c>
      <c r="AD15" s="1136">
        <f>AD44</f>
        <v>4.55</v>
      </c>
      <c r="AE15" s="1129">
        <f>AE44</f>
        <v>0.13700000000000001</v>
      </c>
      <c r="AF15" s="1179">
        <f>SQRT(AG15^2+AH15^2)*1000/(1.73*AG18)</f>
        <v>265.55413155044664</v>
      </c>
      <c r="AG15" s="1136">
        <f>AG44</f>
        <v>4.7750000000000004</v>
      </c>
      <c r="AH15" s="1129">
        <f>AH44</f>
        <v>0.16499999999999998</v>
      </c>
      <c r="AI15" s="1179">
        <f>SQRT(AJ15^2+AK15^2)*1000/(1.73*AJ18)</f>
        <v>267.07817607227679</v>
      </c>
      <c r="AJ15" s="1136">
        <f>AJ44</f>
        <v>4.8</v>
      </c>
      <c r="AK15" s="1129">
        <f>AK44</f>
        <v>0.22499999999999998</v>
      </c>
      <c r="AL15" s="1179">
        <f>SQRT(AM15^2+AN15^2)*1000/(1.73*AM18)</f>
        <v>267.8375662498259</v>
      </c>
      <c r="AM15" s="1136">
        <f>AM44</f>
        <v>4.8140000000000001</v>
      </c>
      <c r="AN15" s="1129">
        <f>AN44</f>
        <v>0.21800000000000003</v>
      </c>
      <c r="AO15" s="1179">
        <f>SQRT(AP15^2+AQ15^2)*1000/(1.73*AP18)</f>
        <v>270.54350946983254</v>
      </c>
      <c r="AP15" s="1136">
        <f>AP44</f>
        <v>4.8630000000000004</v>
      </c>
      <c r="AQ15" s="1129">
        <f>AQ44</f>
        <v>0.21200000000000002</v>
      </c>
      <c r="AR15" s="1179">
        <f>SQRT(AS15^2+AT15^2)*1000/(1.73*AS18)</f>
        <v>269.48685131963487</v>
      </c>
      <c r="AS15" s="1136">
        <f>AS44</f>
        <v>4.8449999999999998</v>
      </c>
      <c r="AT15" s="1129">
        <f>AT44</f>
        <v>0.187</v>
      </c>
      <c r="AU15" s="1179">
        <f>SQRT(AV15^2+AW15^2)*1000/(1.73*AV18)</f>
        <v>269.68503915311459</v>
      </c>
      <c r="AV15" s="1136">
        <f>AV44</f>
        <v>4.8470000000000004</v>
      </c>
      <c r="AW15" s="1129">
        <f>AW44</f>
        <v>0.224</v>
      </c>
      <c r="AX15" s="1179">
        <f>SQRT(AY15^2+AZ15^2)*1000/(1.73*AY18)</f>
        <v>268.57821842797739</v>
      </c>
      <c r="AY15" s="1136">
        <f>AY44</f>
        <v>4.8230000000000004</v>
      </c>
      <c r="AZ15" s="1129">
        <f>AZ44</f>
        <v>0.29899999999999999</v>
      </c>
      <c r="BA15" s="1179">
        <f>SQRT(BB15^2+BC15^2)*1000/(1.73*BB18)</f>
        <v>274.00059237007662</v>
      </c>
      <c r="BB15" s="1136">
        <f>BB44</f>
        <v>4.9260000000000002</v>
      </c>
      <c r="BC15" s="1129">
        <f>BC44</f>
        <v>0.19400000000000001</v>
      </c>
      <c r="BD15" s="1179">
        <f>SQRT(BE15^2+BF15^2)*1000/(1.73*BE18)</f>
        <v>281.15451314427759</v>
      </c>
      <c r="BE15" s="1136">
        <f>BE44</f>
        <v>5.0549999999999997</v>
      </c>
      <c r="BF15" s="1129">
        <f>BF44</f>
        <v>0.189</v>
      </c>
      <c r="BG15" s="1179">
        <f>SQRT(BH15^2+BI15^2)*1000/(1.73*BH18)</f>
        <v>282.03129973448353</v>
      </c>
      <c r="BH15" s="1136">
        <f>BH44</f>
        <v>5.0719999999999992</v>
      </c>
      <c r="BI15" s="1129">
        <f>BI44</f>
        <v>0.15299999999999997</v>
      </c>
      <c r="BJ15" s="1179">
        <f>SQRT(BK15^2+BL15^2)*1000/(1.73*BK18)</f>
        <v>284.99045920654618</v>
      </c>
      <c r="BK15" s="1136">
        <f>BK44</f>
        <v>5.1260000000000003</v>
      </c>
      <c r="BL15" s="1129">
        <f>BL44</f>
        <v>0.126</v>
      </c>
      <c r="BM15" s="1179">
        <f>SQRT(BN15^2+BO15^2)*1000/(1.73*BN18)</f>
        <v>288.04918412284547</v>
      </c>
      <c r="BN15" s="1136">
        <f>BN44</f>
        <v>5.1809999999999992</v>
      </c>
      <c r="BO15" s="1129">
        <f>BO44</f>
        <v>0.128</v>
      </c>
      <c r="BP15" s="1179">
        <f>SQRT(BQ15^2+BR15^2)*1000/(1.73*BQ18)</f>
        <v>285.66481827256473</v>
      </c>
      <c r="BQ15" s="1136">
        <f>BQ44</f>
        <v>5.1370000000000005</v>
      </c>
      <c r="BR15" s="1129">
        <f>BR44</f>
        <v>0.16600000000000001</v>
      </c>
      <c r="BS15" s="1179">
        <f>SQRT(BT15^2+BU15^2)*1000/(1.73*BT18)</f>
        <v>272.28881226241111</v>
      </c>
      <c r="BT15" s="1136">
        <f>BT44</f>
        <v>4.8959999999999999</v>
      </c>
      <c r="BU15" s="1129">
        <f>BU44</f>
        <v>0.17200000000000001</v>
      </c>
      <c r="BV15" s="1179">
        <f>SQRT(BW15^2+BX15^2)*1000/(1.73*BW18)</f>
        <v>257.21055324696073</v>
      </c>
      <c r="BW15" s="1136">
        <f>BW44</f>
        <v>4.625</v>
      </c>
      <c r="BX15" s="1129">
        <f>BX44</f>
        <v>0.15899999999999997</v>
      </c>
      <c r="BY15" s="1179">
        <f>SQRT(BZ15^2+CA15^2)*1000/(1.73*BZ18)</f>
        <v>236.98788467044855</v>
      </c>
      <c r="BZ15" s="1136">
        <f>BZ44</f>
        <v>4.26</v>
      </c>
      <c r="CA15" s="1129">
        <f>CA44</f>
        <v>0.182</v>
      </c>
      <c r="CB15" s="1157"/>
      <c r="CC15" s="1157"/>
      <c r="CD15" s="1157"/>
      <c r="CE15" s="1157"/>
      <c r="CF15" s="1157"/>
      <c r="CG15" s="1157"/>
      <c r="CH15" s="1157"/>
      <c r="CI15" s="1157"/>
      <c r="CJ15" s="1157"/>
      <c r="CK15" s="1157"/>
      <c r="CL15" s="1157"/>
      <c r="CM15" s="1157"/>
      <c r="CN15" s="1157"/>
      <c r="CO15" s="1157"/>
      <c r="CP15" s="1157"/>
      <c r="CQ15" s="1157"/>
      <c r="CR15" s="1157"/>
      <c r="CS15" s="1157"/>
      <c r="CT15" s="1157"/>
      <c r="CU15" s="1157"/>
      <c r="CV15" s="1157"/>
      <c r="CW15" s="1157"/>
      <c r="CX15" s="1157"/>
      <c r="CY15" s="1157"/>
      <c r="CZ15" s="1157"/>
      <c r="DA15" s="1157"/>
      <c r="DB15" s="1157"/>
      <c r="DC15" s="1157"/>
      <c r="DD15" s="1157"/>
      <c r="DE15" s="1157"/>
      <c r="DF15" s="1157"/>
      <c r="DG15" s="1157"/>
      <c r="DH15" s="1157"/>
      <c r="DI15" s="1157"/>
      <c r="DJ15" s="1157"/>
      <c r="DK15" s="1157"/>
      <c r="DL15" s="1157"/>
      <c r="DM15" s="1157"/>
      <c r="DN15" s="1157"/>
      <c r="DO15" s="1157"/>
      <c r="DP15" s="1157"/>
      <c r="DQ15" s="1157"/>
      <c r="DR15" s="1157"/>
      <c r="DS15" s="1157"/>
      <c r="DT15" s="1157"/>
      <c r="DU15" s="1157"/>
      <c r="DV15" s="1157"/>
      <c r="DW15" s="1157"/>
      <c r="DX15" s="1157"/>
      <c r="DY15" s="1157"/>
      <c r="DZ15" s="1157"/>
      <c r="EA15" s="1157"/>
      <c r="EB15" s="1157"/>
      <c r="EC15" s="1157"/>
      <c r="ED15" s="1157"/>
      <c r="EE15" s="1157"/>
      <c r="EF15" s="1157"/>
      <c r="EG15" s="1157"/>
      <c r="EH15" s="1157"/>
      <c r="EI15" s="1157"/>
      <c r="EJ15" s="1157"/>
      <c r="EK15" s="1157"/>
      <c r="EL15" s="1157"/>
      <c r="EM15" s="1157"/>
      <c r="EN15" s="1157"/>
      <c r="EO15" s="1157"/>
      <c r="EP15" s="1157"/>
      <c r="EQ15" s="1157"/>
      <c r="ER15" s="1157"/>
      <c r="ES15" s="1157"/>
      <c r="ET15" s="1157"/>
      <c r="EU15" s="1157"/>
      <c r="EV15" s="1157"/>
      <c r="EW15" s="1157"/>
      <c r="EX15" s="1157"/>
      <c r="EY15" s="1157"/>
      <c r="EZ15" s="1157"/>
      <c r="FA15" s="1157"/>
      <c r="FB15" s="1157"/>
      <c r="FC15" s="1157"/>
      <c r="FD15" s="1157"/>
      <c r="FE15" s="1157"/>
      <c r="FF15" s="1157"/>
      <c r="FG15" s="1157"/>
      <c r="FH15" s="1157"/>
      <c r="FI15" s="1157"/>
      <c r="FJ15" s="1157"/>
      <c r="FK15" s="1157"/>
      <c r="FL15" s="1157"/>
      <c r="FM15" s="1157"/>
      <c r="FN15" s="1157"/>
      <c r="FO15" s="1157"/>
      <c r="FP15" s="1157"/>
      <c r="FQ15" s="1157"/>
      <c r="FR15" s="1157"/>
      <c r="FS15" s="1157"/>
      <c r="FT15" s="1157"/>
      <c r="FU15" s="1157"/>
      <c r="FV15" s="1157"/>
      <c r="FW15" s="1157"/>
      <c r="FX15" s="1157"/>
      <c r="FY15" s="1157"/>
      <c r="FZ15" s="1157"/>
      <c r="GA15" s="1157"/>
      <c r="GB15" s="1157"/>
      <c r="GC15" s="1157"/>
      <c r="GD15" s="1157"/>
      <c r="GE15" s="1157"/>
      <c r="GF15" s="1157"/>
      <c r="GG15" s="1157"/>
      <c r="GH15" s="1157"/>
      <c r="GI15" s="1157"/>
      <c r="GJ15" s="1157"/>
      <c r="GK15" s="1157"/>
      <c r="GL15" s="1157"/>
      <c r="GM15" s="1157"/>
      <c r="GN15" s="1157"/>
      <c r="GO15" s="1157"/>
      <c r="GP15" s="1157"/>
      <c r="GQ15" s="1157"/>
      <c r="GR15" s="1157"/>
      <c r="GS15" s="1157"/>
      <c r="GT15" s="1157"/>
      <c r="GU15" s="1157"/>
      <c r="GV15" s="1157"/>
      <c r="GW15" s="1157"/>
      <c r="GX15" s="1157"/>
      <c r="GY15" s="1157"/>
      <c r="GZ15" s="1157"/>
      <c r="HA15" s="1157"/>
      <c r="HB15" s="1157"/>
      <c r="HC15" s="1157"/>
      <c r="HD15" s="1157"/>
      <c r="HE15" s="1157"/>
      <c r="HF15" s="1157"/>
      <c r="HG15" s="1157"/>
      <c r="HH15" s="1157"/>
      <c r="HI15" s="1157"/>
      <c r="HJ15" s="1157"/>
      <c r="HK15" s="1157"/>
      <c r="HL15" s="1157"/>
      <c r="HM15" s="1157"/>
      <c r="HN15" s="1157"/>
      <c r="HO15" s="1157"/>
      <c r="HP15" s="1157"/>
      <c r="HQ15" s="1157"/>
      <c r="HR15" s="1157"/>
      <c r="HS15" s="1157"/>
      <c r="HT15" s="1157"/>
      <c r="HU15" s="1157"/>
      <c r="HV15" s="1157"/>
      <c r="HW15" s="1157"/>
      <c r="HX15" s="1157"/>
      <c r="HY15" s="1157"/>
      <c r="HZ15" s="1157"/>
      <c r="IA15" s="1157"/>
      <c r="IB15" s="1157"/>
      <c r="IC15" s="1157"/>
      <c r="ID15" s="1157"/>
      <c r="IE15" s="1157"/>
      <c r="IF15" s="1157"/>
      <c r="IG15" s="1157"/>
      <c r="IH15" s="1157"/>
      <c r="II15" s="1157"/>
      <c r="IJ15" s="1157"/>
      <c r="IK15" s="1157"/>
      <c r="IL15" s="1157"/>
      <c r="IM15" s="1157"/>
      <c r="IN15" s="1157"/>
      <c r="IO15" s="1157"/>
      <c r="IP15" s="1157"/>
      <c r="IQ15" s="1157"/>
      <c r="IR15" s="1157"/>
      <c r="IS15" s="1157"/>
      <c r="IT15" s="1157"/>
      <c r="IU15" s="1157"/>
      <c r="IV15" s="1157"/>
    </row>
    <row r="16" spans="1:256" ht="13.5" thickBot="1" x14ac:dyDescent="0.25">
      <c r="A16" s="1137"/>
      <c r="B16" s="1180" t="s">
        <v>1</v>
      </c>
      <c r="C16" s="1139">
        <v>25</v>
      </c>
      <c r="D16" s="1140" t="s">
        <v>39</v>
      </c>
      <c r="E16" s="1141"/>
      <c r="F16" s="1141"/>
      <c r="G16" s="1142"/>
      <c r="H16" s="1143"/>
      <c r="I16" s="1144" t="s">
        <v>288</v>
      </c>
      <c r="J16" s="1145"/>
      <c r="K16" s="1143"/>
      <c r="L16" s="1144" t="s">
        <v>288</v>
      </c>
      <c r="M16" s="1145"/>
      <c r="N16" s="1143"/>
      <c r="O16" s="1144" t="s">
        <v>288</v>
      </c>
      <c r="P16" s="1145"/>
      <c r="Q16" s="1143"/>
      <c r="R16" s="1144" t="s">
        <v>288</v>
      </c>
      <c r="S16" s="1145"/>
      <c r="T16" s="1143"/>
      <c r="U16" s="1144" t="s">
        <v>288</v>
      </c>
      <c r="V16" s="1145"/>
      <c r="W16" s="1143"/>
      <c r="X16" s="1144" t="s">
        <v>288</v>
      </c>
      <c r="Y16" s="1145"/>
      <c r="Z16" s="1143"/>
      <c r="AA16" s="1144" t="s">
        <v>288</v>
      </c>
      <c r="AB16" s="1145"/>
      <c r="AC16" s="1143"/>
      <c r="AD16" s="1144" t="s">
        <v>288</v>
      </c>
      <c r="AE16" s="1145"/>
      <c r="AF16" s="1143"/>
      <c r="AG16" s="1144" t="s">
        <v>288</v>
      </c>
      <c r="AH16" s="1145"/>
      <c r="AI16" s="1143"/>
      <c r="AJ16" s="1144" t="s">
        <v>288</v>
      </c>
      <c r="AK16" s="1145"/>
      <c r="AL16" s="1143"/>
      <c r="AM16" s="1144" t="s">
        <v>288</v>
      </c>
      <c r="AN16" s="1145"/>
      <c r="AO16" s="1143"/>
      <c r="AP16" s="1144" t="s">
        <v>288</v>
      </c>
      <c r="AQ16" s="1145"/>
      <c r="AR16" s="1143"/>
      <c r="AS16" s="1144" t="s">
        <v>288</v>
      </c>
      <c r="AT16" s="1145"/>
      <c r="AU16" s="1143"/>
      <c r="AV16" s="1144" t="s">
        <v>288</v>
      </c>
      <c r="AW16" s="1145"/>
      <c r="AX16" s="1143"/>
      <c r="AY16" s="1144" t="s">
        <v>288</v>
      </c>
      <c r="AZ16" s="1145"/>
      <c r="BA16" s="1143"/>
      <c r="BB16" s="1144" t="s">
        <v>288</v>
      </c>
      <c r="BC16" s="1145"/>
      <c r="BD16" s="1143"/>
      <c r="BE16" s="1144" t="s">
        <v>288</v>
      </c>
      <c r="BF16" s="1145"/>
      <c r="BG16" s="1143"/>
      <c r="BH16" s="1144" t="s">
        <v>288</v>
      </c>
      <c r="BI16" s="1145"/>
      <c r="BJ16" s="1143"/>
      <c r="BK16" s="1144" t="s">
        <v>288</v>
      </c>
      <c r="BL16" s="1145"/>
      <c r="BM16" s="1143"/>
      <c r="BN16" s="1144" t="s">
        <v>288</v>
      </c>
      <c r="BO16" s="1145"/>
      <c r="BP16" s="1143"/>
      <c r="BQ16" s="1144" t="s">
        <v>288</v>
      </c>
      <c r="BR16" s="1145"/>
      <c r="BS16" s="1143"/>
      <c r="BT16" s="1144" t="s">
        <v>288</v>
      </c>
      <c r="BU16" s="1145"/>
      <c r="BV16" s="1143"/>
      <c r="BW16" s="1144" t="s">
        <v>288</v>
      </c>
      <c r="BX16" s="1145"/>
      <c r="BY16" s="1143"/>
      <c r="BZ16" s="1144" t="s">
        <v>288</v>
      </c>
      <c r="CA16" s="1145"/>
      <c r="CB16" s="1146"/>
      <c r="CC16" s="1146"/>
      <c r="CD16" s="1146"/>
      <c r="CE16" s="1146"/>
      <c r="CF16" s="1146"/>
      <c r="CG16" s="1146"/>
      <c r="CH16" s="1146"/>
      <c r="CI16" s="1146"/>
      <c r="CJ16" s="1146"/>
      <c r="CK16" s="1146"/>
      <c r="CL16" s="1146"/>
      <c r="CM16" s="1146"/>
      <c r="CN16" s="1146"/>
      <c r="CO16" s="1146"/>
      <c r="CP16" s="1146"/>
      <c r="CQ16" s="1146"/>
      <c r="CR16" s="1146"/>
      <c r="CS16" s="1146"/>
      <c r="CT16" s="1146"/>
      <c r="CU16" s="1146"/>
      <c r="CV16" s="1146"/>
      <c r="CW16" s="1146"/>
      <c r="CX16" s="1146"/>
      <c r="CY16" s="1146"/>
      <c r="CZ16" s="1146"/>
      <c r="DA16" s="1146"/>
      <c r="DB16" s="1146"/>
      <c r="DC16" s="1146"/>
      <c r="DD16" s="1146"/>
      <c r="DE16" s="1146"/>
      <c r="DF16" s="1146"/>
      <c r="DG16" s="1146"/>
      <c r="DH16" s="1146"/>
      <c r="DI16" s="1146"/>
      <c r="DJ16" s="1146"/>
      <c r="DK16" s="1146"/>
      <c r="DL16" s="1146"/>
      <c r="DM16" s="1146"/>
      <c r="DN16" s="1146"/>
      <c r="DO16" s="1146"/>
      <c r="DP16" s="1146"/>
      <c r="DQ16" s="1146"/>
      <c r="DR16" s="1146"/>
      <c r="DS16" s="1146"/>
      <c r="DT16" s="1146"/>
      <c r="DU16" s="1146"/>
      <c r="DV16" s="1146"/>
      <c r="DW16" s="1146"/>
      <c r="DX16" s="1146"/>
      <c r="DY16" s="1146"/>
      <c r="DZ16" s="1146"/>
      <c r="EA16" s="1146"/>
      <c r="EB16" s="1146"/>
      <c r="EC16" s="1146"/>
      <c r="ED16" s="1146"/>
      <c r="EE16" s="1146"/>
      <c r="EF16" s="1146"/>
      <c r="EG16" s="1146"/>
      <c r="EH16" s="1146"/>
      <c r="EI16" s="1146"/>
      <c r="EJ16" s="1146"/>
      <c r="EK16" s="1146"/>
      <c r="EL16" s="1146"/>
      <c r="EM16" s="1146"/>
      <c r="EN16" s="1146"/>
      <c r="EO16" s="1146"/>
      <c r="EP16" s="1146"/>
      <c r="EQ16" s="1146"/>
      <c r="ER16" s="1146"/>
      <c r="ES16" s="1146"/>
      <c r="ET16" s="1146"/>
      <c r="EU16" s="1146"/>
      <c r="EV16" s="1146"/>
      <c r="EW16" s="1146"/>
      <c r="EX16" s="1146"/>
      <c r="EY16" s="1146"/>
      <c r="EZ16" s="1146"/>
      <c r="FA16" s="1146"/>
      <c r="FB16" s="1146"/>
      <c r="FC16" s="1146"/>
      <c r="FD16" s="1146"/>
      <c r="FE16" s="1146"/>
      <c r="FF16" s="1146"/>
      <c r="FG16" s="1146"/>
      <c r="FH16" s="1146"/>
      <c r="FI16" s="1146"/>
      <c r="FJ16" s="1146"/>
      <c r="FK16" s="1146"/>
      <c r="FL16" s="1146"/>
      <c r="FM16" s="1146"/>
      <c r="FN16" s="1146"/>
      <c r="FO16" s="1146"/>
      <c r="FP16" s="1146"/>
      <c r="FQ16" s="1146"/>
      <c r="FR16" s="1146"/>
      <c r="FS16" s="1146"/>
      <c r="FT16" s="1146"/>
      <c r="FU16" s="1146"/>
      <c r="FV16" s="1146"/>
      <c r="FW16" s="1146"/>
      <c r="FX16" s="1146"/>
      <c r="FY16" s="1146"/>
      <c r="FZ16" s="1146"/>
      <c r="GA16" s="1146"/>
      <c r="GB16" s="1146"/>
      <c r="GC16" s="1146"/>
      <c r="GD16" s="1146"/>
      <c r="GE16" s="1146"/>
      <c r="GF16" s="1146"/>
      <c r="GG16" s="1146"/>
      <c r="GH16" s="1146"/>
      <c r="GI16" s="1146"/>
      <c r="GJ16" s="1146"/>
      <c r="GK16" s="1146"/>
      <c r="GL16" s="1146"/>
      <c r="GM16" s="1146"/>
      <c r="GN16" s="1146"/>
      <c r="GO16" s="1146"/>
      <c r="GP16" s="1146"/>
      <c r="GQ16" s="1146"/>
      <c r="GR16" s="1146"/>
      <c r="GS16" s="1146"/>
      <c r="GT16" s="1146"/>
      <c r="GU16" s="1146"/>
      <c r="GV16" s="1146"/>
      <c r="GW16" s="1146"/>
      <c r="GX16" s="1146"/>
      <c r="GY16" s="1146"/>
      <c r="GZ16" s="1146"/>
      <c r="HA16" s="1146"/>
      <c r="HB16" s="1146"/>
      <c r="HC16" s="1146"/>
      <c r="HD16" s="1146"/>
      <c r="HE16" s="1146"/>
      <c r="HF16" s="1146"/>
      <c r="HG16" s="1146"/>
      <c r="HH16" s="1146"/>
      <c r="HI16" s="1146"/>
      <c r="HJ16" s="1146"/>
      <c r="HK16" s="1146"/>
      <c r="HL16" s="1146"/>
      <c r="HM16" s="1146"/>
      <c r="HN16" s="1146"/>
      <c r="HO16" s="1146"/>
      <c r="HP16" s="1146"/>
      <c r="HQ16" s="1146"/>
      <c r="HR16" s="1146"/>
      <c r="HS16" s="1146"/>
      <c r="HT16" s="1146"/>
      <c r="HU16" s="1146"/>
      <c r="HV16" s="1146"/>
      <c r="HW16" s="1146"/>
      <c r="HX16" s="1146"/>
      <c r="HY16" s="1146"/>
      <c r="HZ16" s="1146"/>
      <c r="IA16" s="1146"/>
      <c r="IB16" s="1146"/>
      <c r="IC16" s="1146"/>
      <c r="ID16" s="1146"/>
      <c r="IE16" s="1146"/>
      <c r="IF16" s="1146"/>
      <c r="IG16" s="1146"/>
      <c r="IH16" s="1146"/>
      <c r="II16" s="1146"/>
      <c r="IJ16" s="1146"/>
      <c r="IK16" s="1146"/>
      <c r="IL16" s="1146"/>
      <c r="IM16" s="1146"/>
      <c r="IN16" s="1146"/>
      <c r="IO16" s="1146"/>
      <c r="IP16" s="1146"/>
      <c r="IQ16" s="1146"/>
      <c r="IR16" s="1146"/>
      <c r="IS16" s="1146"/>
      <c r="IT16" s="1146"/>
      <c r="IU16" s="1146"/>
      <c r="IV16" s="1146"/>
    </row>
    <row r="17" spans="1:256" x14ac:dyDescent="0.2">
      <c r="A17" s="1147"/>
      <c r="B17" s="1148"/>
      <c r="C17" s="1149"/>
      <c r="D17" s="1150"/>
      <c r="E17" s="1151"/>
      <c r="F17" s="1152" t="s">
        <v>33</v>
      </c>
      <c r="G17" s="1153"/>
      <c r="H17" s="1154"/>
      <c r="I17" s="1155">
        <v>117</v>
      </c>
      <c r="J17" s="1156"/>
      <c r="K17" s="1154"/>
      <c r="L17" s="1155">
        <v>117</v>
      </c>
      <c r="M17" s="1156"/>
      <c r="N17" s="1154"/>
      <c r="O17" s="1155">
        <v>117</v>
      </c>
      <c r="P17" s="1156"/>
      <c r="Q17" s="1154"/>
      <c r="R17" s="1155">
        <v>117</v>
      </c>
      <c r="S17" s="1156"/>
      <c r="T17" s="1154"/>
      <c r="U17" s="1155">
        <v>117</v>
      </c>
      <c r="V17" s="1156"/>
      <c r="W17" s="1154"/>
      <c r="X17" s="1155">
        <v>117</v>
      </c>
      <c r="Y17" s="1156"/>
      <c r="Z17" s="1154"/>
      <c r="AA17" s="1155">
        <v>117</v>
      </c>
      <c r="AB17" s="1156"/>
      <c r="AC17" s="1154"/>
      <c r="AD17" s="1155">
        <v>117</v>
      </c>
      <c r="AE17" s="1156"/>
      <c r="AF17" s="1154"/>
      <c r="AG17" s="1155">
        <v>117</v>
      </c>
      <c r="AH17" s="1156"/>
      <c r="AI17" s="1154"/>
      <c r="AJ17" s="1155">
        <v>117</v>
      </c>
      <c r="AK17" s="1156"/>
      <c r="AL17" s="1154"/>
      <c r="AM17" s="1155">
        <v>117</v>
      </c>
      <c r="AN17" s="1156"/>
      <c r="AO17" s="1154"/>
      <c r="AP17" s="1155">
        <v>117</v>
      </c>
      <c r="AQ17" s="1156"/>
      <c r="AR17" s="1154"/>
      <c r="AS17" s="1155">
        <v>117</v>
      </c>
      <c r="AT17" s="1156"/>
      <c r="AU17" s="1154"/>
      <c r="AV17" s="1155">
        <v>117</v>
      </c>
      <c r="AW17" s="1156"/>
      <c r="AX17" s="1154"/>
      <c r="AY17" s="1155">
        <v>117</v>
      </c>
      <c r="AZ17" s="1156"/>
      <c r="BA17" s="1154"/>
      <c r="BB17" s="1155">
        <v>117</v>
      </c>
      <c r="BC17" s="1156"/>
      <c r="BD17" s="1154"/>
      <c r="BE17" s="1155">
        <v>117</v>
      </c>
      <c r="BF17" s="1156"/>
      <c r="BG17" s="1154"/>
      <c r="BH17" s="1155">
        <v>117</v>
      </c>
      <c r="BI17" s="1156"/>
      <c r="BJ17" s="1154"/>
      <c r="BK17" s="1155">
        <v>117</v>
      </c>
      <c r="BL17" s="1156"/>
      <c r="BM17" s="1154"/>
      <c r="BN17" s="1155">
        <v>117</v>
      </c>
      <c r="BO17" s="1156"/>
      <c r="BP17" s="1154"/>
      <c r="BQ17" s="1155">
        <v>117</v>
      </c>
      <c r="BR17" s="1156"/>
      <c r="BS17" s="1154"/>
      <c r="BT17" s="1155">
        <v>117</v>
      </c>
      <c r="BU17" s="1156"/>
      <c r="BV17" s="1154"/>
      <c r="BW17" s="1155">
        <v>117</v>
      </c>
      <c r="BX17" s="1156"/>
      <c r="BY17" s="1154"/>
      <c r="BZ17" s="1155">
        <v>117</v>
      </c>
      <c r="CA17" s="1156"/>
      <c r="CB17" s="1181"/>
      <c r="CC17" s="1157"/>
      <c r="CD17" s="1157"/>
      <c r="CE17" s="1157"/>
      <c r="CF17" s="1157"/>
      <c r="CG17" s="1157"/>
      <c r="CH17" s="1157"/>
      <c r="CI17" s="1157"/>
      <c r="CJ17" s="1157"/>
      <c r="CK17" s="1157"/>
      <c r="CL17" s="1157"/>
      <c r="CM17" s="1157"/>
      <c r="CN17" s="1157"/>
      <c r="CO17" s="1157"/>
      <c r="CP17" s="1157"/>
      <c r="CQ17" s="1157"/>
      <c r="CR17" s="1157"/>
      <c r="CS17" s="1157"/>
      <c r="CT17" s="1157"/>
      <c r="CU17" s="1157"/>
      <c r="CV17" s="1157"/>
      <c r="CW17" s="1157"/>
      <c r="CX17" s="1157"/>
      <c r="CY17" s="1157"/>
      <c r="CZ17" s="1157"/>
      <c r="DA17" s="1157"/>
      <c r="DB17" s="1157"/>
      <c r="DC17" s="1157"/>
      <c r="DD17" s="1157"/>
      <c r="DE17" s="1157"/>
      <c r="DF17" s="1157"/>
      <c r="DG17" s="1157"/>
      <c r="DH17" s="1157"/>
      <c r="DI17" s="1157"/>
      <c r="DJ17" s="1157"/>
      <c r="DK17" s="1157"/>
      <c r="DL17" s="1157"/>
      <c r="DM17" s="1157"/>
      <c r="DN17" s="1157"/>
      <c r="DO17" s="1157"/>
      <c r="DP17" s="1157"/>
      <c r="DQ17" s="1157"/>
      <c r="DR17" s="1157"/>
      <c r="DS17" s="1157"/>
      <c r="DT17" s="1157"/>
      <c r="DU17" s="1157"/>
      <c r="DV17" s="1157"/>
      <c r="DW17" s="1157"/>
      <c r="DX17" s="1157"/>
      <c r="DY17" s="1157"/>
      <c r="DZ17" s="1157"/>
      <c r="EA17" s="1157"/>
      <c r="EB17" s="1157"/>
      <c r="EC17" s="1157"/>
      <c r="ED17" s="1157"/>
      <c r="EE17" s="1157"/>
      <c r="EF17" s="1157"/>
      <c r="EG17" s="1157"/>
      <c r="EH17" s="1157"/>
      <c r="EI17" s="1157"/>
      <c r="EJ17" s="1157"/>
      <c r="EK17" s="1157"/>
      <c r="EL17" s="1157"/>
      <c r="EM17" s="1157"/>
      <c r="EN17" s="1157"/>
      <c r="EO17" s="1157"/>
      <c r="EP17" s="1157"/>
      <c r="EQ17" s="1157"/>
      <c r="ER17" s="1157"/>
      <c r="ES17" s="1157"/>
      <c r="ET17" s="1157"/>
      <c r="EU17" s="1157"/>
      <c r="EV17" s="1157"/>
      <c r="EW17" s="1157"/>
      <c r="EX17" s="1157"/>
      <c r="EY17" s="1157"/>
      <c r="EZ17" s="1157"/>
      <c r="FA17" s="1157"/>
      <c r="FB17" s="1157"/>
      <c r="FC17" s="1157"/>
      <c r="FD17" s="1157"/>
      <c r="FE17" s="1157"/>
      <c r="FF17" s="1157"/>
      <c r="FG17" s="1157"/>
      <c r="FH17" s="1157"/>
      <c r="FI17" s="1157"/>
      <c r="FJ17" s="1157"/>
      <c r="FK17" s="1157"/>
      <c r="FL17" s="1157"/>
      <c r="FM17" s="1157"/>
      <c r="FN17" s="1157"/>
      <c r="FO17" s="1157"/>
      <c r="FP17" s="1157"/>
      <c r="FQ17" s="1157"/>
      <c r="FR17" s="1157"/>
      <c r="FS17" s="1157"/>
      <c r="FT17" s="1157"/>
      <c r="FU17" s="1157"/>
      <c r="FV17" s="1157"/>
      <c r="FW17" s="1157"/>
      <c r="FX17" s="1157"/>
      <c r="FY17" s="1157"/>
      <c r="FZ17" s="1157"/>
      <c r="GA17" s="1157"/>
      <c r="GB17" s="1157"/>
      <c r="GC17" s="1157"/>
      <c r="GD17" s="1157"/>
      <c r="GE17" s="1157"/>
      <c r="GF17" s="1157"/>
      <c r="GG17" s="1157"/>
      <c r="GH17" s="1157"/>
      <c r="GI17" s="1157"/>
      <c r="GJ17" s="1157"/>
      <c r="GK17" s="1157"/>
      <c r="GL17" s="1157"/>
      <c r="GM17" s="1157"/>
      <c r="GN17" s="1157"/>
      <c r="GO17" s="1157"/>
      <c r="GP17" s="1157"/>
      <c r="GQ17" s="1157"/>
      <c r="GR17" s="1157"/>
      <c r="GS17" s="1157"/>
      <c r="GT17" s="1157"/>
      <c r="GU17" s="1157"/>
      <c r="GV17" s="1157"/>
      <c r="GW17" s="1157"/>
      <c r="GX17" s="1157"/>
      <c r="GY17" s="1157"/>
      <c r="GZ17" s="1157"/>
      <c r="HA17" s="1157"/>
      <c r="HB17" s="1157"/>
      <c r="HC17" s="1157"/>
      <c r="HD17" s="1157"/>
      <c r="HE17" s="1157"/>
      <c r="HF17" s="1157"/>
      <c r="HG17" s="1157"/>
      <c r="HH17" s="1157"/>
      <c r="HI17" s="1157"/>
      <c r="HJ17" s="1157"/>
      <c r="HK17" s="1157"/>
      <c r="HL17" s="1157"/>
      <c r="HM17" s="1157"/>
      <c r="HN17" s="1157"/>
      <c r="HO17" s="1157"/>
      <c r="HP17" s="1157"/>
      <c r="HQ17" s="1157"/>
      <c r="HR17" s="1157"/>
      <c r="HS17" s="1157"/>
      <c r="HT17" s="1157"/>
      <c r="HU17" s="1157"/>
      <c r="HV17" s="1157"/>
      <c r="HW17" s="1157"/>
      <c r="HX17" s="1157"/>
      <c r="HY17" s="1157"/>
      <c r="HZ17" s="1157"/>
      <c r="IA17" s="1157"/>
      <c r="IB17" s="1157"/>
      <c r="IC17" s="1157"/>
      <c r="ID17" s="1157"/>
      <c r="IE17" s="1157"/>
      <c r="IF17" s="1157"/>
      <c r="IG17" s="1157"/>
      <c r="IH17" s="1157"/>
      <c r="II17" s="1157"/>
      <c r="IJ17" s="1157"/>
      <c r="IK17" s="1157"/>
      <c r="IL17" s="1157"/>
      <c r="IM17" s="1157"/>
      <c r="IN17" s="1157"/>
      <c r="IO17" s="1157"/>
      <c r="IP17" s="1157"/>
      <c r="IQ17" s="1157"/>
      <c r="IR17" s="1157"/>
      <c r="IS17" s="1157"/>
      <c r="IT17" s="1157"/>
      <c r="IU17" s="1157"/>
      <c r="IV17" s="1157"/>
    </row>
    <row r="18" spans="1:256" ht="13.5" thickBot="1" x14ac:dyDescent="0.25">
      <c r="A18" s="1150"/>
      <c r="B18" s="1151"/>
      <c r="C18" s="1177"/>
      <c r="D18" s="1150" t="s">
        <v>14</v>
      </c>
      <c r="E18" s="1158"/>
      <c r="F18" s="1160" t="s">
        <v>34</v>
      </c>
      <c r="G18" s="1182"/>
      <c r="H18" s="1154"/>
      <c r="I18" s="1162">
        <v>10.4</v>
      </c>
      <c r="J18" s="1163"/>
      <c r="K18" s="1154"/>
      <c r="L18" s="1162">
        <v>10.4</v>
      </c>
      <c r="M18" s="1163"/>
      <c r="N18" s="1154"/>
      <c r="O18" s="1162">
        <v>10.4</v>
      </c>
      <c r="P18" s="1163"/>
      <c r="Q18" s="1154"/>
      <c r="R18" s="1162">
        <v>10.4</v>
      </c>
      <c r="S18" s="1163"/>
      <c r="T18" s="1154"/>
      <c r="U18" s="1162">
        <v>10.4</v>
      </c>
      <c r="V18" s="1163"/>
      <c r="W18" s="1154"/>
      <c r="X18" s="1162">
        <v>10.4</v>
      </c>
      <c r="Y18" s="1163"/>
      <c r="Z18" s="1154"/>
      <c r="AA18" s="1162">
        <v>10.4</v>
      </c>
      <c r="AB18" s="1163"/>
      <c r="AC18" s="1154"/>
      <c r="AD18" s="1162">
        <v>10.4</v>
      </c>
      <c r="AE18" s="1163"/>
      <c r="AF18" s="1154"/>
      <c r="AG18" s="1162">
        <v>10.4</v>
      </c>
      <c r="AH18" s="1163"/>
      <c r="AI18" s="1154"/>
      <c r="AJ18" s="1162">
        <v>10.4</v>
      </c>
      <c r="AK18" s="1163"/>
      <c r="AL18" s="1154"/>
      <c r="AM18" s="1162">
        <v>10.4</v>
      </c>
      <c r="AN18" s="1163"/>
      <c r="AO18" s="1154"/>
      <c r="AP18" s="1162">
        <v>10.4</v>
      </c>
      <c r="AQ18" s="1163"/>
      <c r="AR18" s="1154"/>
      <c r="AS18" s="1162">
        <v>10.4</v>
      </c>
      <c r="AT18" s="1163"/>
      <c r="AU18" s="1154"/>
      <c r="AV18" s="1162">
        <v>10.4</v>
      </c>
      <c r="AW18" s="1163"/>
      <c r="AX18" s="1154"/>
      <c r="AY18" s="1162">
        <v>10.4</v>
      </c>
      <c r="AZ18" s="1163"/>
      <c r="BA18" s="1154"/>
      <c r="BB18" s="1162">
        <v>10.4</v>
      </c>
      <c r="BC18" s="1163"/>
      <c r="BD18" s="1154"/>
      <c r="BE18" s="1162">
        <v>10.4</v>
      </c>
      <c r="BF18" s="1163"/>
      <c r="BG18" s="1154"/>
      <c r="BH18" s="1162">
        <v>10.4</v>
      </c>
      <c r="BI18" s="1163"/>
      <c r="BJ18" s="1154"/>
      <c r="BK18" s="1162">
        <v>10.4</v>
      </c>
      <c r="BL18" s="1163"/>
      <c r="BM18" s="1154"/>
      <c r="BN18" s="1162">
        <v>10.4</v>
      </c>
      <c r="BO18" s="1163"/>
      <c r="BP18" s="1154"/>
      <c r="BQ18" s="1162">
        <v>10.4</v>
      </c>
      <c r="BR18" s="1163"/>
      <c r="BS18" s="1154"/>
      <c r="BT18" s="1162">
        <v>10.4</v>
      </c>
      <c r="BU18" s="1163"/>
      <c r="BV18" s="1154"/>
      <c r="BW18" s="1162">
        <v>10.4</v>
      </c>
      <c r="BX18" s="1163"/>
      <c r="BY18" s="1154"/>
      <c r="BZ18" s="1162">
        <v>10.4</v>
      </c>
      <c r="CA18" s="1163"/>
      <c r="CB18" s="1181"/>
      <c r="CC18" s="1157"/>
      <c r="CD18" s="1157"/>
      <c r="CE18" s="1157"/>
      <c r="CF18" s="1157"/>
      <c r="CG18" s="1157"/>
      <c r="CH18" s="1157"/>
      <c r="CI18" s="1157"/>
      <c r="CJ18" s="1157"/>
      <c r="CK18" s="1157"/>
      <c r="CL18" s="1157"/>
      <c r="CM18" s="1157"/>
      <c r="CN18" s="1157"/>
      <c r="CO18" s="1157"/>
      <c r="CP18" s="1157"/>
      <c r="CQ18" s="1157"/>
      <c r="CR18" s="1157"/>
      <c r="CS18" s="1157"/>
      <c r="CT18" s="1157"/>
      <c r="CU18" s="1157"/>
      <c r="CV18" s="1157"/>
      <c r="CW18" s="1157"/>
      <c r="CX18" s="1157"/>
      <c r="CY18" s="1157"/>
      <c r="CZ18" s="1157"/>
      <c r="DA18" s="1157"/>
      <c r="DB18" s="1157"/>
      <c r="DC18" s="1157"/>
      <c r="DD18" s="1157"/>
      <c r="DE18" s="1157"/>
      <c r="DF18" s="1157"/>
      <c r="DG18" s="1157"/>
      <c r="DH18" s="1157"/>
      <c r="DI18" s="1157"/>
      <c r="DJ18" s="1157"/>
      <c r="DK18" s="1157"/>
      <c r="DL18" s="1157"/>
      <c r="DM18" s="1157"/>
      <c r="DN18" s="1157"/>
      <c r="DO18" s="1157"/>
      <c r="DP18" s="1157"/>
      <c r="DQ18" s="1157"/>
      <c r="DR18" s="1157"/>
      <c r="DS18" s="1157"/>
      <c r="DT18" s="1157"/>
      <c r="DU18" s="1157"/>
      <c r="DV18" s="1157"/>
      <c r="DW18" s="1157"/>
      <c r="DX18" s="1157"/>
      <c r="DY18" s="1157"/>
      <c r="DZ18" s="1157"/>
      <c r="EA18" s="1157"/>
      <c r="EB18" s="1157"/>
      <c r="EC18" s="1157"/>
      <c r="ED18" s="1157"/>
      <c r="EE18" s="1157"/>
      <c r="EF18" s="1157"/>
      <c r="EG18" s="1157"/>
      <c r="EH18" s="1157"/>
      <c r="EI18" s="1157"/>
      <c r="EJ18" s="1157"/>
      <c r="EK18" s="1157"/>
      <c r="EL18" s="1157"/>
      <c r="EM18" s="1157"/>
      <c r="EN18" s="1157"/>
      <c r="EO18" s="1157"/>
      <c r="EP18" s="1157"/>
      <c r="EQ18" s="1157"/>
      <c r="ER18" s="1157"/>
      <c r="ES18" s="1157"/>
      <c r="ET18" s="1157"/>
      <c r="EU18" s="1157"/>
      <c r="EV18" s="1157"/>
      <c r="EW18" s="1157"/>
      <c r="EX18" s="1157"/>
      <c r="EY18" s="1157"/>
      <c r="EZ18" s="1157"/>
      <c r="FA18" s="1157"/>
      <c r="FB18" s="1157"/>
      <c r="FC18" s="1157"/>
      <c r="FD18" s="1157"/>
      <c r="FE18" s="1157"/>
      <c r="FF18" s="1157"/>
      <c r="FG18" s="1157"/>
      <c r="FH18" s="1157"/>
      <c r="FI18" s="1157"/>
      <c r="FJ18" s="1157"/>
      <c r="FK18" s="1157"/>
      <c r="FL18" s="1157"/>
      <c r="FM18" s="1157"/>
      <c r="FN18" s="1157"/>
      <c r="FO18" s="1157"/>
      <c r="FP18" s="1157"/>
      <c r="FQ18" s="1157"/>
      <c r="FR18" s="1157"/>
      <c r="FS18" s="1157"/>
      <c r="FT18" s="1157"/>
      <c r="FU18" s="1157"/>
      <c r="FV18" s="1157"/>
      <c r="FW18" s="1157"/>
      <c r="FX18" s="1157"/>
      <c r="FY18" s="1157"/>
      <c r="FZ18" s="1157"/>
      <c r="GA18" s="1157"/>
      <c r="GB18" s="1157"/>
      <c r="GC18" s="1157"/>
      <c r="GD18" s="1157"/>
      <c r="GE18" s="1157"/>
      <c r="GF18" s="1157"/>
      <c r="GG18" s="1157"/>
      <c r="GH18" s="1157"/>
      <c r="GI18" s="1157"/>
      <c r="GJ18" s="1157"/>
      <c r="GK18" s="1157"/>
      <c r="GL18" s="1157"/>
      <c r="GM18" s="1157"/>
      <c r="GN18" s="1157"/>
      <c r="GO18" s="1157"/>
      <c r="GP18" s="1157"/>
      <c r="GQ18" s="1157"/>
      <c r="GR18" s="1157"/>
      <c r="GS18" s="1157"/>
      <c r="GT18" s="1157"/>
      <c r="GU18" s="1157"/>
      <c r="GV18" s="1157"/>
      <c r="GW18" s="1157"/>
      <c r="GX18" s="1157"/>
      <c r="GY18" s="1157"/>
      <c r="GZ18" s="1157"/>
      <c r="HA18" s="1157"/>
      <c r="HB18" s="1157"/>
      <c r="HC18" s="1157"/>
      <c r="HD18" s="1157"/>
      <c r="HE18" s="1157"/>
      <c r="HF18" s="1157"/>
      <c r="HG18" s="1157"/>
      <c r="HH18" s="1157"/>
      <c r="HI18" s="1157"/>
      <c r="HJ18" s="1157"/>
      <c r="HK18" s="1157"/>
      <c r="HL18" s="1157"/>
      <c r="HM18" s="1157"/>
      <c r="HN18" s="1157"/>
      <c r="HO18" s="1157"/>
      <c r="HP18" s="1157"/>
      <c r="HQ18" s="1157"/>
      <c r="HR18" s="1157"/>
      <c r="HS18" s="1157"/>
      <c r="HT18" s="1157"/>
      <c r="HU18" s="1157"/>
      <c r="HV18" s="1157"/>
      <c r="HW18" s="1157"/>
      <c r="HX18" s="1157"/>
      <c r="HY18" s="1157"/>
      <c r="HZ18" s="1157"/>
      <c r="IA18" s="1157"/>
      <c r="IB18" s="1157"/>
      <c r="IC18" s="1157"/>
      <c r="ID18" s="1157"/>
      <c r="IE18" s="1157"/>
      <c r="IF18" s="1157"/>
      <c r="IG18" s="1157"/>
      <c r="IH18" s="1157"/>
      <c r="II18" s="1157"/>
      <c r="IJ18" s="1157"/>
      <c r="IK18" s="1157"/>
      <c r="IL18" s="1157"/>
      <c r="IM18" s="1157"/>
      <c r="IN18" s="1157"/>
      <c r="IO18" s="1157"/>
      <c r="IP18" s="1157"/>
      <c r="IQ18" s="1157"/>
      <c r="IR18" s="1157"/>
      <c r="IS18" s="1157"/>
      <c r="IT18" s="1157"/>
      <c r="IU18" s="1157"/>
      <c r="IV18" s="1157"/>
    </row>
    <row r="19" spans="1:256" ht="13.5" thickBot="1" x14ac:dyDescent="0.25">
      <c r="A19" s="1132"/>
      <c r="B19" s="1079"/>
      <c r="C19" s="1183"/>
      <c r="D19" s="1184" t="s">
        <v>83</v>
      </c>
      <c r="E19" s="1185"/>
      <c r="F19" s="1185"/>
      <c r="G19" s="1186"/>
      <c r="H19" s="1187"/>
      <c r="I19" s="1188"/>
      <c r="J19" s="1189"/>
      <c r="K19" s="1187"/>
      <c r="L19" s="1188"/>
      <c r="M19" s="1189"/>
      <c r="N19" s="1187"/>
      <c r="O19" s="1188"/>
      <c r="P19" s="1189"/>
      <c r="Q19" s="1187"/>
      <c r="R19" s="1188"/>
      <c r="S19" s="1189"/>
      <c r="T19" s="1187"/>
      <c r="U19" s="1188"/>
      <c r="V19" s="1189"/>
      <c r="W19" s="1187"/>
      <c r="X19" s="1188"/>
      <c r="Y19" s="1189"/>
      <c r="Z19" s="1187"/>
      <c r="AA19" s="1188"/>
      <c r="AB19" s="1189"/>
      <c r="AC19" s="1187"/>
      <c r="AD19" s="1188"/>
      <c r="AE19" s="1189"/>
      <c r="AF19" s="1187"/>
      <c r="AG19" s="1188"/>
      <c r="AH19" s="1189"/>
      <c r="AI19" s="1187"/>
      <c r="AJ19" s="1188"/>
      <c r="AK19" s="1189"/>
      <c r="AL19" s="1187"/>
      <c r="AM19" s="1188"/>
      <c r="AN19" s="1189"/>
      <c r="AO19" s="1187"/>
      <c r="AP19" s="1188"/>
      <c r="AQ19" s="1189"/>
      <c r="AR19" s="1187"/>
      <c r="AS19" s="1188"/>
      <c r="AT19" s="1189"/>
      <c r="AU19" s="1187"/>
      <c r="AV19" s="1188"/>
      <c r="AW19" s="1189"/>
      <c r="AX19" s="1187"/>
      <c r="AY19" s="1188"/>
      <c r="AZ19" s="1189"/>
      <c r="BA19" s="1187"/>
      <c r="BB19" s="1188"/>
      <c r="BC19" s="1189"/>
      <c r="BD19" s="1187"/>
      <c r="BE19" s="1188"/>
      <c r="BF19" s="1189"/>
      <c r="BG19" s="1187"/>
      <c r="BH19" s="1188"/>
      <c r="BI19" s="1189"/>
      <c r="BJ19" s="1187"/>
      <c r="BK19" s="1188"/>
      <c r="BL19" s="1189"/>
      <c r="BM19" s="1187"/>
      <c r="BN19" s="1188"/>
      <c r="BO19" s="1189"/>
      <c r="BP19" s="1187"/>
      <c r="BQ19" s="1188"/>
      <c r="BR19" s="1189"/>
      <c r="BS19" s="1187"/>
      <c r="BT19" s="1188"/>
      <c r="BU19" s="1189"/>
      <c r="BV19" s="1187"/>
      <c r="BW19" s="1188"/>
      <c r="BX19" s="1189"/>
      <c r="BY19" s="1187"/>
      <c r="BZ19" s="1188"/>
      <c r="CA19" s="1189"/>
    </row>
    <row r="20" spans="1:256" x14ac:dyDescent="0.2">
      <c r="A20" s="1124"/>
      <c r="B20" s="1125"/>
      <c r="C20" s="1125"/>
      <c r="D20" s="1124"/>
      <c r="E20" s="1125"/>
      <c r="F20" s="1190" t="s">
        <v>33</v>
      </c>
      <c r="G20" s="1191"/>
      <c r="H20" s="1192">
        <f t="shared" ref="H20:BS21" si="0">H8+H14</f>
        <v>49.188938930393633</v>
      </c>
      <c r="I20" s="1193">
        <f t="shared" si="0"/>
        <v>9.9519999999999982</v>
      </c>
      <c r="J20" s="1194">
        <f t="shared" si="0"/>
        <v>0.28600000000000003</v>
      </c>
      <c r="K20" s="1192">
        <f t="shared" si="0"/>
        <v>46.450717642738823</v>
      </c>
      <c r="L20" s="1193">
        <f t="shared" si="0"/>
        <v>9.3949999999999996</v>
      </c>
      <c r="M20" s="1194">
        <f t="shared" si="0"/>
        <v>0.36399999999999999</v>
      </c>
      <c r="N20" s="1192">
        <f t="shared" si="0"/>
        <v>45.08419120679379</v>
      </c>
      <c r="O20" s="1193">
        <f t="shared" si="0"/>
        <v>9.1189999999999998</v>
      </c>
      <c r="P20" s="1194">
        <f t="shared" si="0"/>
        <v>0.34399999999999997</v>
      </c>
      <c r="Q20" s="1192">
        <f t="shared" si="0"/>
        <v>44.413215855768584</v>
      </c>
      <c r="R20" s="1193">
        <f t="shared" si="0"/>
        <v>8.9840000000000018</v>
      </c>
      <c r="S20" s="1194">
        <f t="shared" si="0"/>
        <v>0.31000000000000005</v>
      </c>
      <c r="T20" s="1192">
        <f t="shared" si="0"/>
        <v>44.397674034791024</v>
      </c>
      <c r="U20" s="1193">
        <f t="shared" si="0"/>
        <v>8.9830000000000005</v>
      </c>
      <c r="V20" s="1194">
        <f t="shared" si="0"/>
        <v>0.23399999999999999</v>
      </c>
      <c r="W20" s="1192">
        <f t="shared" si="0"/>
        <v>46.181311971319133</v>
      </c>
      <c r="X20" s="1193">
        <f t="shared" si="0"/>
        <v>9.3439999999999994</v>
      </c>
      <c r="Y20" s="1194">
        <f t="shared" si="0"/>
        <v>0.255</v>
      </c>
      <c r="Z20" s="1192">
        <f t="shared" si="0"/>
        <v>52.331319645924395</v>
      </c>
      <c r="AA20" s="1193">
        <f t="shared" si="0"/>
        <v>10.588000000000001</v>
      </c>
      <c r="AB20" s="1194">
        <f t="shared" si="0"/>
        <v>0.30399999999999999</v>
      </c>
      <c r="AC20" s="1192">
        <f t="shared" si="0"/>
        <v>59.935240936407538</v>
      </c>
      <c r="AD20" s="1193">
        <f t="shared" si="0"/>
        <v>12.126000000000001</v>
      </c>
      <c r="AE20" s="1194">
        <f t="shared" si="0"/>
        <v>0.36499999999999999</v>
      </c>
      <c r="AF20" s="1192">
        <f t="shared" si="0"/>
        <v>63.60781014275215</v>
      </c>
      <c r="AG20" s="1193">
        <f t="shared" si="0"/>
        <v>12.863999999999999</v>
      </c>
      <c r="AH20" s="1194">
        <f t="shared" si="0"/>
        <v>0.52499999999999991</v>
      </c>
      <c r="AI20" s="1192">
        <f t="shared" si="0"/>
        <v>65.118402795838534</v>
      </c>
      <c r="AJ20" s="1193">
        <f t="shared" si="0"/>
        <v>13.158999999999999</v>
      </c>
      <c r="AK20" s="1194">
        <f t="shared" si="0"/>
        <v>0.748</v>
      </c>
      <c r="AL20" s="1192">
        <f t="shared" si="0"/>
        <v>65.784768405427457</v>
      </c>
      <c r="AM20" s="1193">
        <f t="shared" si="0"/>
        <v>13.295</v>
      </c>
      <c r="AN20" s="1194">
        <f t="shared" si="0"/>
        <v>0.73199999999999998</v>
      </c>
      <c r="AO20" s="1192">
        <f t="shared" si="0"/>
        <v>65.929567375523078</v>
      </c>
      <c r="AP20" s="1193">
        <f t="shared" si="0"/>
        <v>13.321000000000002</v>
      </c>
      <c r="AQ20" s="1194">
        <f t="shared" si="0"/>
        <v>0.78200000000000003</v>
      </c>
      <c r="AR20" s="1192">
        <f t="shared" si="0"/>
        <v>65.582099038647058</v>
      </c>
      <c r="AS20" s="1193">
        <f t="shared" si="0"/>
        <v>13.259</v>
      </c>
      <c r="AT20" s="1194">
        <f t="shared" si="0"/>
        <v>0.63400000000000001</v>
      </c>
      <c r="AU20" s="1192">
        <f t="shared" si="0"/>
        <v>65.669547189949697</v>
      </c>
      <c r="AV20" s="1193">
        <f t="shared" si="0"/>
        <v>13.268000000000001</v>
      </c>
      <c r="AW20" s="1194">
        <f t="shared" si="0"/>
        <v>0.79</v>
      </c>
      <c r="AX20" s="1192">
        <f t="shared" si="0"/>
        <v>66.220004237885007</v>
      </c>
      <c r="AY20" s="1193">
        <f t="shared" si="0"/>
        <v>13.371</v>
      </c>
      <c r="AZ20" s="1194">
        <f t="shared" si="0"/>
        <v>0.93100000000000005</v>
      </c>
      <c r="BA20" s="1192">
        <f t="shared" si="0"/>
        <v>67.33181917755914</v>
      </c>
      <c r="BB20" s="1193">
        <f t="shared" si="0"/>
        <v>13.612</v>
      </c>
      <c r="BC20" s="1194">
        <f t="shared" si="0"/>
        <v>0.66599999999999993</v>
      </c>
      <c r="BD20" s="1192">
        <f t="shared" si="0"/>
        <v>68.456227427222245</v>
      </c>
      <c r="BE20" s="1193">
        <f t="shared" si="0"/>
        <v>13.843999999999999</v>
      </c>
      <c r="BF20" s="1194">
        <f t="shared" si="0"/>
        <v>0.58000000000000007</v>
      </c>
      <c r="BG20" s="1192">
        <f t="shared" si="0"/>
        <v>68.198546770110141</v>
      </c>
      <c r="BH20" s="1193">
        <f t="shared" si="0"/>
        <v>13.792999999999999</v>
      </c>
      <c r="BI20" s="1194">
        <f t="shared" si="0"/>
        <v>0.54400000000000004</v>
      </c>
      <c r="BJ20" s="1192">
        <f t="shared" si="0"/>
        <v>67.775422788323013</v>
      </c>
      <c r="BK20" s="1193">
        <f t="shared" si="0"/>
        <v>13.713000000000001</v>
      </c>
      <c r="BL20" s="1194">
        <f t="shared" si="0"/>
        <v>0.38400000000000001</v>
      </c>
      <c r="BM20" s="1192">
        <f t="shared" si="0"/>
        <v>67.542139346724511</v>
      </c>
      <c r="BN20" s="1193">
        <f t="shared" si="0"/>
        <v>13.665999999999999</v>
      </c>
      <c r="BO20" s="1194">
        <f t="shared" si="0"/>
        <v>0.376</v>
      </c>
      <c r="BP20" s="1192">
        <f t="shared" si="0"/>
        <v>65.999908816789514</v>
      </c>
      <c r="BQ20" s="1193">
        <f t="shared" si="0"/>
        <v>13.353000000000002</v>
      </c>
      <c r="BR20" s="1194">
        <f t="shared" si="0"/>
        <v>0.40100000000000002</v>
      </c>
      <c r="BS20" s="1192">
        <f t="shared" si="0"/>
        <v>62.858763165722671</v>
      </c>
      <c r="BT20" s="1193">
        <f t="shared" ref="BT20:CA21" si="1">BT8+BT14</f>
        <v>12.716000000000001</v>
      </c>
      <c r="BU20" s="1194">
        <f t="shared" si="1"/>
        <v>0.42900000000000005</v>
      </c>
      <c r="BV20" s="1192">
        <f t="shared" si="1"/>
        <v>58.561025112369364</v>
      </c>
      <c r="BW20" s="1193">
        <f t="shared" si="1"/>
        <v>11.848000000000001</v>
      </c>
      <c r="BX20" s="1194">
        <f t="shared" si="1"/>
        <v>0.35299999999999998</v>
      </c>
      <c r="BY20" s="1192">
        <f t="shared" si="1"/>
        <v>53.670130687334193</v>
      </c>
      <c r="BZ20" s="1193">
        <f t="shared" si="1"/>
        <v>10.858000000000001</v>
      </c>
      <c r="CA20" s="1194">
        <f t="shared" si="1"/>
        <v>0.32199999999999995</v>
      </c>
    </row>
    <row r="21" spans="1:256" ht="13.5" thickBot="1" x14ac:dyDescent="0.25">
      <c r="A21" s="1195"/>
      <c r="B21" s="1196" t="s">
        <v>35</v>
      </c>
      <c r="C21" s="1196"/>
      <c r="D21" s="1195"/>
      <c r="E21" s="1196"/>
      <c r="F21" s="1197" t="s">
        <v>34</v>
      </c>
      <c r="G21" s="1198"/>
      <c r="H21" s="1199">
        <f t="shared" si="0"/>
        <v>553.37556296692833</v>
      </c>
      <c r="I21" s="1200">
        <f t="shared" si="0"/>
        <v>9.9519999999999982</v>
      </c>
      <c r="J21" s="1201">
        <f t="shared" si="0"/>
        <v>0.28600000000000003</v>
      </c>
      <c r="K21" s="1199">
        <f t="shared" si="0"/>
        <v>522.57057348081173</v>
      </c>
      <c r="L21" s="1200">
        <f t="shared" si="0"/>
        <v>9.3949999999999996</v>
      </c>
      <c r="M21" s="1201">
        <f t="shared" si="0"/>
        <v>0.36399999999999999</v>
      </c>
      <c r="N21" s="1199">
        <f t="shared" si="0"/>
        <v>507.19715107643015</v>
      </c>
      <c r="O21" s="1200">
        <f t="shared" si="0"/>
        <v>9.1189999999999998</v>
      </c>
      <c r="P21" s="1201">
        <f t="shared" si="0"/>
        <v>0.34399999999999997</v>
      </c>
      <c r="Q21" s="1199">
        <f t="shared" si="0"/>
        <v>499.64867837739644</v>
      </c>
      <c r="R21" s="1200">
        <f t="shared" si="0"/>
        <v>8.9840000000000018</v>
      </c>
      <c r="S21" s="1201">
        <f t="shared" si="0"/>
        <v>0.31000000000000005</v>
      </c>
      <c r="T21" s="1199">
        <f t="shared" si="0"/>
        <v>499.47383289139896</v>
      </c>
      <c r="U21" s="1200">
        <f t="shared" si="0"/>
        <v>8.9830000000000005</v>
      </c>
      <c r="V21" s="1201">
        <f t="shared" si="0"/>
        <v>0.23399999999999999</v>
      </c>
      <c r="W21" s="1199">
        <f t="shared" si="0"/>
        <v>519.53975967734016</v>
      </c>
      <c r="X21" s="1200">
        <f t="shared" si="0"/>
        <v>9.3439999999999994</v>
      </c>
      <c r="Y21" s="1201">
        <f t="shared" si="0"/>
        <v>0.255</v>
      </c>
      <c r="Z21" s="1199">
        <f t="shared" si="0"/>
        <v>588.72734601664945</v>
      </c>
      <c r="AA21" s="1200">
        <f t="shared" si="0"/>
        <v>10.588000000000001</v>
      </c>
      <c r="AB21" s="1201">
        <f t="shared" si="0"/>
        <v>0.30399999999999999</v>
      </c>
      <c r="AC21" s="1199">
        <f t="shared" si="0"/>
        <v>674.27146053458478</v>
      </c>
      <c r="AD21" s="1200">
        <f t="shared" si="0"/>
        <v>12.126000000000001</v>
      </c>
      <c r="AE21" s="1201">
        <f t="shared" si="0"/>
        <v>0.36499999999999999</v>
      </c>
      <c r="AF21" s="1199">
        <f t="shared" si="0"/>
        <v>715.58786410596167</v>
      </c>
      <c r="AG21" s="1200">
        <f t="shared" si="0"/>
        <v>12.863999999999999</v>
      </c>
      <c r="AH21" s="1201">
        <f t="shared" si="0"/>
        <v>0.52499999999999991</v>
      </c>
      <c r="AI21" s="1199">
        <f t="shared" si="0"/>
        <v>732.58203145318339</v>
      </c>
      <c r="AJ21" s="1200">
        <f t="shared" si="0"/>
        <v>13.158999999999999</v>
      </c>
      <c r="AK21" s="1201">
        <f t="shared" si="0"/>
        <v>0.748</v>
      </c>
      <c r="AL21" s="1199">
        <f t="shared" si="0"/>
        <v>740.07864456105881</v>
      </c>
      <c r="AM21" s="1200">
        <f t="shared" si="0"/>
        <v>13.295</v>
      </c>
      <c r="AN21" s="1201">
        <f t="shared" si="0"/>
        <v>0.73199999999999998</v>
      </c>
      <c r="AO21" s="1199">
        <f t="shared" si="0"/>
        <v>741.70763297463463</v>
      </c>
      <c r="AP21" s="1200">
        <f t="shared" si="0"/>
        <v>13.321000000000002</v>
      </c>
      <c r="AQ21" s="1201">
        <f t="shared" si="0"/>
        <v>0.78200000000000003</v>
      </c>
      <c r="AR21" s="1199">
        <f t="shared" si="0"/>
        <v>737.79861418477935</v>
      </c>
      <c r="AS21" s="1200">
        <f t="shared" si="0"/>
        <v>13.259</v>
      </c>
      <c r="AT21" s="1201">
        <f t="shared" si="0"/>
        <v>0.63400000000000001</v>
      </c>
      <c r="AU21" s="1199">
        <f t="shared" si="0"/>
        <v>738.78240588693404</v>
      </c>
      <c r="AV21" s="1200">
        <f t="shared" si="0"/>
        <v>13.268000000000001</v>
      </c>
      <c r="AW21" s="1201">
        <f t="shared" si="0"/>
        <v>0.79</v>
      </c>
      <c r="AX21" s="1199">
        <f t="shared" si="0"/>
        <v>744.97504767620626</v>
      </c>
      <c r="AY21" s="1200">
        <f t="shared" si="0"/>
        <v>13.371</v>
      </c>
      <c r="AZ21" s="1201">
        <f t="shared" si="0"/>
        <v>0.93100000000000005</v>
      </c>
      <c r="BA21" s="1199">
        <f t="shared" si="0"/>
        <v>757.48296574754022</v>
      </c>
      <c r="BB21" s="1200">
        <f t="shared" si="0"/>
        <v>13.612</v>
      </c>
      <c r="BC21" s="1201">
        <f t="shared" si="0"/>
        <v>0.66599999999999993</v>
      </c>
      <c r="BD21" s="1199">
        <f t="shared" si="0"/>
        <v>770.13255855625027</v>
      </c>
      <c r="BE21" s="1200">
        <f t="shared" si="0"/>
        <v>13.843999999999999</v>
      </c>
      <c r="BF21" s="1201">
        <f t="shared" si="0"/>
        <v>0.58000000000000007</v>
      </c>
      <c r="BG21" s="1199">
        <f t="shared" si="0"/>
        <v>767.23365116373907</v>
      </c>
      <c r="BH21" s="1200">
        <f t="shared" si="0"/>
        <v>13.792999999999999</v>
      </c>
      <c r="BI21" s="1201">
        <f t="shared" si="0"/>
        <v>0.54400000000000004</v>
      </c>
      <c r="BJ21" s="1199">
        <f t="shared" si="0"/>
        <v>762.47350636863382</v>
      </c>
      <c r="BK21" s="1200">
        <f t="shared" si="0"/>
        <v>13.713000000000001</v>
      </c>
      <c r="BL21" s="1201">
        <f t="shared" si="0"/>
        <v>0.38400000000000001</v>
      </c>
      <c r="BM21" s="1199">
        <f t="shared" si="0"/>
        <v>759.84906765065057</v>
      </c>
      <c r="BN21" s="1200">
        <f t="shared" si="0"/>
        <v>13.665999999999999</v>
      </c>
      <c r="BO21" s="1201">
        <f t="shared" si="0"/>
        <v>0.376</v>
      </c>
      <c r="BP21" s="1199">
        <f t="shared" si="0"/>
        <v>742.49897418888213</v>
      </c>
      <c r="BQ21" s="1200">
        <f t="shared" si="0"/>
        <v>13.353000000000002</v>
      </c>
      <c r="BR21" s="1201">
        <f t="shared" si="0"/>
        <v>0.40100000000000002</v>
      </c>
      <c r="BS21" s="1199">
        <f t="shared" si="0"/>
        <v>707.16108561438</v>
      </c>
      <c r="BT21" s="1200">
        <f t="shared" si="1"/>
        <v>12.716000000000001</v>
      </c>
      <c r="BU21" s="1201">
        <f t="shared" si="1"/>
        <v>0.42900000000000005</v>
      </c>
      <c r="BV21" s="1199">
        <f t="shared" si="1"/>
        <v>658.81153251415526</v>
      </c>
      <c r="BW21" s="1200">
        <f t="shared" si="1"/>
        <v>11.848000000000001</v>
      </c>
      <c r="BX21" s="1201">
        <f t="shared" si="1"/>
        <v>0.35299999999999998</v>
      </c>
      <c r="BY21" s="1199">
        <f t="shared" si="1"/>
        <v>603.78897023250954</v>
      </c>
      <c r="BZ21" s="1200">
        <f t="shared" si="1"/>
        <v>10.858000000000001</v>
      </c>
      <c r="CA21" s="1201">
        <f t="shared" si="1"/>
        <v>0.32199999999999995</v>
      </c>
    </row>
    <row r="22" spans="1:256" x14ac:dyDescent="0.2">
      <c r="A22" s="1202"/>
      <c r="B22" s="1125"/>
      <c r="C22" s="1203"/>
      <c r="D22" s="1202"/>
      <c r="E22" s="2413"/>
      <c r="F22" s="2413"/>
      <c r="G22" s="1126"/>
      <c r="H22" s="1125"/>
      <c r="I22" s="1125"/>
      <c r="J22" s="1125"/>
      <c r="K22" s="1125"/>
      <c r="L22" s="1125"/>
      <c r="M22" s="1125"/>
      <c r="N22" s="1125"/>
      <c r="O22" s="1125"/>
      <c r="P22" s="1125"/>
      <c r="Q22" s="1125"/>
      <c r="R22" s="1125"/>
      <c r="S22" s="1125"/>
      <c r="T22" s="1125"/>
      <c r="U22" s="1125"/>
      <c r="V22" s="1125"/>
      <c r="W22" s="1125"/>
      <c r="X22" s="1125"/>
      <c r="Y22" s="1125"/>
      <c r="Z22" s="1125"/>
      <c r="AA22" s="1125"/>
      <c r="AB22" s="1125"/>
      <c r="AC22" s="1125"/>
      <c r="AD22" s="1125"/>
      <c r="AE22" s="1125"/>
      <c r="AF22" s="1125"/>
      <c r="AG22" s="1125"/>
      <c r="AH22" s="1125"/>
      <c r="AI22" s="1125"/>
      <c r="AJ22" s="1125"/>
      <c r="AK22" s="1125"/>
      <c r="AL22" s="1125"/>
      <c r="AM22" s="1125"/>
      <c r="AN22" s="1125"/>
      <c r="AO22" s="1125"/>
      <c r="AP22" s="1125"/>
      <c r="AQ22" s="1125"/>
      <c r="AR22" s="1125"/>
      <c r="AS22" s="1125"/>
      <c r="AT22" s="1125"/>
      <c r="AU22" s="1125"/>
      <c r="AV22" s="1125"/>
      <c r="AW22" s="1125"/>
      <c r="AX22" s="1125"/>
      <c r="AY22" s="1125"/>
      <c r="AZ22" s="1125"/>
      <c r="BA22" s="1125"/>
      <c r="BB22" s="1125"/>
      <c r="BC22" s="1125"/>
      <c r="BD22" s="1125"/>
      <c r="BE22" s="1125"/>
      <c r="BF22" s="1125"/>
      <c r="BG22" s="1125"/>
      <c r="BH22" s="1125"/>
      <c r="BI22" s="1125"/>
      <c r="BJ22" s="1125"/>
      <c r="BK22" s="1125"/>
      <c r="BL22" s="1125"/>
      <c r="BM22" s="1125"/>
      <c r="BN22" s="1125"/>
      <c r="BO22" s="1125"/>
      <c r="BP22" s="1125"/>
      <c r="BQ22" s="1125"/>
      <c r="BR22" s="1125"/>
      <c r="BS22" s="1125"/>
      <c r="BT22" s="1125"/>
      <c r="BU22" s="1125"/>
      <c r="BV22" s="1125"/>
      <c r="BW22" s="1125"/>
      <c r="BX22" s="1125"/>
      <c r="BY22" s="1125"/>
      <c r="BZ22" s="1125"/>
      <c r="CA22" s="1125"/>
    </row>
    <row r="23" spans="1:256" x14ac:dyDescent="0.2">
      <c r="A23" s="1204" t="s">
        <v>47</v>
      </c>
      <c r="B23" s="1079"/>
      <c r="C23" s="1205">
        <f>(I21+L21+O21+R21+U21+X21+AA21+AD21+AG21+AJ21+AM21+AP21+AS21+AV21+AY21+BB21+BE21+BH21+BK21+BN21+BQ21+BT21+BW21+BZ21)/SQRT((I21+L21+O21+R21+U21+X21+AA21+AD21+AG21+AJ21+AM21+AP21+AS21+AV21+AY21+BB21+BE21+BH21+BK21+BN21+BQ21+BT21+BW21+BZ21)^2+(J21+M21+P21+S21+V21+Y21+AB21+AE21+AH21+AK21+AN21+AQ21+AT21+AW21+AZ21+BC21+BF21++BI21+BL21+BO21+BR21+BU21+BX21+CA21)^2)</f>
        <v>0.99918402486620139</v>
      </c>
      <c r="D23" s="1204" t="s">
        <v>48</v>
      </c>
      <c r="E23" s="2414">
        <f>(CA21+BX21+BU21+BR21+BO21+BL21+BI21+BF21+BC21+AZ21+AW21+AT21+AQ21+AN21+AK21+AH21+AE21+AB21++Y21+V21+S21+P21+M21+J21)/(I21+L21+O21+R21+U21+X21+AA21+AD21+AG21+AJ21+AM21+AP21+AS21+AV21+AY21+BB21+BE21+BH21+BK21+BN21+BQ21+BT21+BW21+BZ21)</f>
        <v>4.0422146024525797E-2</v>
      </c>
      <c r="F23" s="2414"/>
      <c r="G23" s="1131"/>
      <c r="H23" s="1079"/>
      <c r="I23" s="1079"/>
      <c r="J23" s="1079"/>
      <c r="K23" s="1079"/>
      <c r="L23" s="1079"/>
      <c r="M23" s="1079"/>
      <c r="N23" s="1079"/>
      <c r="O23" s="1079"/>
      <c r="P23" s="1079"/>
      <c r="Q23" s="1079"/>
      <c r="R23" s="1079"/>
      <c r="S23" s="1079"/>
      <c r="T23" s="1079"/>
      <c r="U23" s="1079"/>
      <c r="V23" s="1079"/>
      <c r="W23" s="1079"/>
      <c r="X23" s="1079"/>
      <c r="Y23" s="1079"/>
      <c r="Z23" s="1079"/>
      <c r="AA23" s="1079"/>
      <c r="AB23" s="1079"/>
      <c r="AC23" s="1079"/>
      <c r="AD23" s="1079"/>
      <c r="AE23" s="1079"/>
      <c r="AF23" s="1079"/>
      <c r="AG23" s="1079"/>
      <c r="AH23" s="1079"/>
      <c r="AI23" s="1079"/>
      <c r="AJ23" s="1079"/>
      <c r="AK23" s="1079"/>
      <c r="AL23" s="1079"/>
      <c r="AM23" s="1079"/>
      <c r="AN23" s="1079"/>
      <c r="AO23" s="1079"/>
      <c r="AP23" s="1079"/>
      <c r="AQ23" s="1079"/>
      <c r="AR23" s="1079"/>
      <c r="AS23" s="1079"/>
      <c r="AT23" s="1079"/>
      <c r="AU23" s="1079"/>
      <c r="AV23" s="1079"/>
      <c r="AW23" s="1079"/>
      <c r="AX23" s="1079"/>
      <c r="AY23" s="1079"/>
      <c r="AZ23" s="1079"/>
      <c r="BA23" s="1079"/>
      <c r="BB23" s="1079"/>
      <c r="BC23" s="1079"/>
      <c r="BD23" s="1079"/>
      <c r="BE23" s="1079"/>
      <c r="BF23" s="1079"/>
      <c r="BG23" s="1079"/>
      <c r="BH23" s="1079"/>
      <c r="BI23" s="1079"/>
      <c r="BJ23" s="1079"/>
      <c r="BK23" s="1079"/>
      <c r="BL23" s="1079"/>
      <c r="BM23" s="1079"/>
      <c r="BN23" s="1079"/>
      <c r="BO23" s="1079"/>
      <c r="BP23" s="1079"/>
      <c r="BQ23" s="1079"/>
      <c r="BR23" s="1079"/>
      <c r="BS23" s="1079"/>
      <c r="BT23" s="1079"/>
      <c r="BU23" s="1079"/>
      <c r="BV23" s="1079"/>
      <c r="BW23" s="1079"/>
      <c r="BX23" s="1079"/>
      <c r="BY23" s="1079"/>
      <c r="BZ23" s="1079"/>
      <c r="CA23" s="1079"/>
    </row>
    <row r="24" spans="1:256" ht="13.5" thickBot="1" x14ac:dyDescent="0.25">
      <c r="A24" s="1204"/>
      <c r="B24" s="1196"/>
      <c r="C24" s="1205"/>
      <c r="D24" s="1206"/>
      <c r="G24" s="1207"/>
      <c r="H24" s="1196"/>
      <c r="I24" s="1196"/>
      <c r="J24" s="1196"/>
      <c r="K24" s="1196"/>
      <c r="L24" s="1196"/>
      <c r="M24" s="1196"/>
      <c r="N24" s="1196"/>
      <c r="O24" s="1196"/>
      <c r="P24" s="1196"/>
      <c r="Q24" s="1196"/>
      <c r="R24" s="1196"/>
      <c r="S24" s="1196"/>
      <c r="T24" s="1196"/>
      <c r="U24" s="1196"/>
      <c r="V24" s="1196"/>
      <c r="W24" s="1196"/>
      <c r="X24" s="1196"/>
      <c r="Y24" s="1196"/>
      <c r="Z24" s="1196"/>
      <c r="AA24" s="1196"/>
      <c r="AB24" s="1196"/>
      <c r="AC24" s="1196"/>
      <c r="AD24" s="1196"/>
      <c r="AE24" s="1196"/>
      <c r="AF24" s="1196"/>
      <c r="AG24" s="1196"/>
      <c r="AH24" s="1196"/>
      <c r="AI24" s="1196"/>
      <c r="AJ24" s="1196"/>
      <c r="AK24" s="1196"/>
      <c r="AL24" s="1196"/>
      <c r="AM24" s="1196"/>
      <c r="AN24" s="1196"/>
      <c r="AO24" s="1196"/>
      <c r="AP24" s="1196"/>
      <c r="AQ24" s="1196"/>
      <c r="AR24" s="1196"/>
      <c r="AS24" s="1196"/>
      <c r="AT24" s="1196"/>
      <c r="AU24" s="1196"/>
      <c r="AV24" s="1196"/>
      <c r="AW24" s="1196"/>
      <c r="AX24" s="1196"/>
      <c r="AY24" s="1196"/>
      <c r="AZ24" s="1196"/>
      <c r="BA24" s="1196"/>
      <c r="BB24" s="1196"/>
      <c r="BC24" s="1196"/>
      <c r="BD24" s="1196"/>
      <c r="BE24" s="1196"/>
      <c r="BF24" s="1196"/>
      <c r="BG24" s="1196"/>
      <c r="BH24" s="1196"/>
      <c r="BI24" s="1196"/>
      <c r="BJ24" s="1196"/>
      <c r="BK24" s="1196"/>
      <c r="BL24" s="1196"/>
      <c r="BM24" s="1196"/>
      <c r="BN24" s="1196"/>
      <c r="BO24" s="1196"/>
      <c r="BP24" s="1196"/>
      <c r="BQ24" s="1196"/>
      <c r="BR24" s="1196"/>
      <c r="BS24" s="1196"/>
      <c r="BT24" s="1196"/>
      <c r="BU24" s="1196"/>
      <c r="BV24" s="1196"/>
      <c r="BW24" s="1196"/>
      <c r="BX24" s="1196"/>
      <c r="BY24" s="1196"/>
      <c r="BZ24" s="1196"/>
      <c r="CA24" s="1196"/>
    </row>
    <row r="25" spans="1:256" x14ac:dyDescent="0.2">
      <c r="A25" s="1121" t="s">
        <v>40</v>
      </c>
      <c r="B25" s="1208"/>
      <c r="C25" s="1209"/>
      <c r="D25" s="1210" t="s">
        <v>5</v>
      </c>
      <c r="E25" s="1211"/>
      <c r="F25" s="1210" t="s">
        <v>6</v>
      </c>
      <c r="G25" s="1212"/>
      <c r="H25" s="1213"/>
      <c r="I25" s="1214"/>
      <c r="J25" s="1214"/>
      <c r="K25" s="1213"/>
      <c r="L25" s="1214"/>
      <c r="M25" s="1214"/>
      <c r="N25" s="1213"/>
      <c r="O25" s="1214"/>
      <c r="P25" s="1214"/>
      <c r="Q25" s="1213"/>
      <c r="R25" s="1214"/>
      <c r="S25" s="1214"/>
      <c r="T25" s="1213"/>
      <c r="U25" s="1214"/>
      <c r="V25" s="1214"/>
      <c r="W25" s="1213"/>
      <c r="X25" s="1214"/>
      <c r="Y25" s="1214"/>
      <c r="Z25" s="1213"/>
      <c r="AA25" s="1214"/>
      <c r="AB25" s="1214"/>
      <c r="AC25" s="1213"/>
      <c r="AD25" s="1214"/>
      <c r="AE25" s="1214"/>
      <c r="AF25" s="1213"/>
      <c r="AG25" s="1214"/>
      <c r="AH25" s="1214"/>
      <c r="AI25" s="1213"/>
      <c r="AJ25" s="1214"/>
      <c r="AK25" s="1214"/>
      <c r="AL25" s="1213"/>
      <c r="AM25" s="1214"/>
      <c r="AN25" s="1214"/>
      <c r="AO25" s="1213"/>
      <c r="AP25" s="1214"/>
      <c r="AQ25" s="1214"/>
      <c r="AR25" s="1213"/>
      <c r="AS25" s="1214"/>
      <c r="AT25" s="1214"/>
      <c r="AU25" s="1213"/>
      <c r="AV25" s="1214"/>
      <c r="AW25" s="1214"/>
      <c r="AX25" s="1213"/>
      <c r="AY25" s="1214"/>
      <c r="AZ25" s="1214"/>
      <c r="BA25" s="1213"/>
      <c r="BB25" s="1214"/>
      <c r="BC25" s="1214"/>
      <c r="BD25" s="1213"/>
      <c r="BE25" s="1214"/>
      <c r="BF25" s="1214"/>
      <c r="BG25" s="1213"/>
      <c r="BH25" s="1214"/>
      <c r="BI25" s="1214"/>
      <c r="BJ25" s="1213"/>
      <c r="BK25" s="1214"/>
      <c r="BL25" s="1214"/>
      <c r="BM25" s="1213"/>
      <c r="BN25" s="1214"/>
      <c r="BO25" s="1214"/>
      <c r="BP25" s="1213"/>
      <c r="BQ25" s="1214"/>
      <c r="BR25" s="1214"/>
      <c r="BS25" s="1213"/>
      <c r="BT25" s="1214"/>
      <c r="BU25" s="1214"/>
      <c r="BV25" s="1213"/>
      <c r="BW25" s="1214"/>
      <c r="BX25" s="1214"/>
      <c r="BY25" s="1213"/>
      <c r="BZ25" s="1214"/>
      <c r="CA25" s="1214"/>
    </row>
    <row r="26" spans="1:256" ht="13.5" thickBot="1" x14ac:dyDescent="0.25">
      <c r="A26" s="1195"/>
      <c r="B26" s="1215" t="s">
        <v>289</v>
      </c>
      <c r="C26" s="1216"/>
      <c r="D26" s="1217" t="s">
        <v>7</v>
      </c>
      <c r="E26" s="1218" t="s">
        <v>8</v>
      </c>
      <c r="F26" s="1218" t="s">
        <v>7</v>
      </c>
      <c r="G26" s="1219" t="s">
        <v>8</v>
      </c>
      <c r="H26" s="1213"/>
      <c r="I26" s="1214"/>
      <c r="J26" s="1214"/>
      <c r="K26" s="1213"/>
      <c r="L26" s="1214"/>
      <c r="M26" s="1214"/>
      <c r="N26" s="1213"/>
      <c r="O26" s="1214"/>
      <c r="P26" s="1214"/>
      <c r="Q26" s="1213"/>
      <c r="R26" s="1214"/>
      <c r="S26" s="1214"/>
      <c r="T26" s="1213"/>
      <c r="U26" s="1214"/>
      <c r="V26" s="1214"/>
      <c r="W26" s="1213"/>
      <c r="X26" s="1214"/>
      <c r="Y26" s="1214"/>
      <c r="Z26" s="1213"/>
      <c r="AA26" s="1214"/>
      <c r="AB26" s="1214"/>
      <c r="AC26" s="1213"/>
      <c r="AD26" s="1214"/>
      <c r="AE26" s="1214"/>
      <c r="AF26" s="1213"/>
      <c r="AG26" s="1214"/>
      <c r="AH26" s="1214"/>
      <c r="AI26" s="1213"/>
      <c r="AJ26" s="1214"/>
      <c r="AK26" s="1214"/>
      <c r="AL26" s="1213"/>
      <c r="AM26" s="1214"/>
      <c r="AN26" s="1214"/>
      <c r="AO26" s="1213"/>
      <c r="AP26" s="1214"/>
      <c r="AQ26" s="1214"/>
      <c r="AR26" s="1213"/>
      <c r="AS26" s="1214"/>
      <c r="AT26" s="1214"/>
      <c r="AU26" s="1213"/>
      <c r="AV26" s="1214"/>
      <c r="AW26" s="1214"/>
      <c r="AX26" s="1213"/>
      <c r="AY26" s="1214"/>
      <c r="AZ26" s="1214"/>
      <c r="BA26" s="1213"/>
      <c r="BB26" s="1214"/>
      <c r="BC26" s="1214"/>
      <c r="BD26" s="1213"/>
      <c r="BE26" s="1214"/>
      <c r="BF26" s="1214"/>
      <c r="BG26" s="1213"/>
      <c r="BH26" s="1214"/>
      <c r="BI26" s="1214"/>
      <c r="BJ26" s="1213"/>
      <c r="BK26" s="1214"/>
      <c r="BL26" s="1214"/>
      <c r="BM26" s="1213"/>
      <c r="BN26" s="1214"/>
      <c r="BO26" s="1214"/>
      <c r="BP26" s="1213"/>
      <c r="BQ26" s="1214"/>
      <c r="BR26" s="1214"/>
      <c r="BS26" s="1213"/>
      <c r="BT26" s="1214"/>
      <c r="BU26" s="1214"/>
      <c r="BV26" s="1213"/>
      <c r="BW26" s="1214"/>
      <c r="BX26" s="1214"/>
      <c r="BY26" s="1213"/>
      <c r="BZ26" s="1214"/>
      <c r="CA26" s="1214"/>
    </row>
    <row r="27" spans="1:256" x14ac:dyDescent="0.2">
      <c r="A27" s="1220">
        <v>1</v>
      </c>
      <c r="B27" s="1221" t="s">
        <v>290</v>
      </c>
      <c r="C27" s="1222"/>
      <c r="D27" s="1223"/>
      <c r="E27" s="1224"/>
      <c r="F27" s="1225"/>
      <c r="G27" s="1226"/>
      <c r="H27" s="1227">
        <f>SQRT(I27^2+J27^2)*1000/(1.73*I12)</f>
        <v>10.368511634274052</v>
      </c>
      <c r="I27" s="1228">
        <v>0.18</v>
      </c>
      <c r="J27" s="1229">
        <v>4.9000000000000002E-2</v>
      </c>
      <c r="K27" s="1227">
        <f>SQRT(L27^2+M27^2)*1000/(1.73*L12)</f>
        <v>10.200150953272086</v>
      </c>
      <c r="L27" s="1228">
        <v>0.17599999999999999</v>
      </c>
      <c r="M27" s="1229">
        <v>5.1999999999999998E-2</v>
      </c>
      <c r="N27" s="1227">
        <f>SQRT(O27^2+P27^2)*1000/(1.73*O12)</f>
        <v>9.8421008437224096</v>
      </c>
      <c r="O27" s="1228">
        <v>0.17100000000000001</v>
      </c>
      <c r="P27" s="1229">
        <v>4.5999999999999999E-2</v>
      </c>
      <c r="Q27" s="1227">
        <f>SQRT(R27^2+S27^2)*1000/(1.73*R12)</f>
        <v>10.285351609576123</v>
      </c>
      <c r="R27" s="1228">
        <v>0.17699999999999999</v>
      </c>
      <c r="S27" s="1229">
        <v>5.3999999999999999E-2</v>
      </c>
      <c r="T27" s="1227">
        <f>SQRT(U27^2+V27^2)*1000/(1.73*U12)</f>
        <v>10.269270522797612</v>
      </c>
      <c r="U27" s="1228">
        <v>0.17699999999999999</v>
      </c>
      <c r="V27" s="1229">
        <v>5.2999999999999999E-2</v>
      </c>
      <c r="W27" s="1227">
        <f>SQRT(X27^2+Y27^2)*1000/(1.73*X12)</f>
        <v>9.8421008437224096</v>
      </c>
      <c r="X27" s="1228">
        <v>0.17100000000000001</v>
      </c>
      <c r="Y27" s="1229">
        <v>4.5999999999999999E-2</v>
      </c>
      <c r="Z27" s="1227">
        <f>SQRT(AA27^2+AB27^2)*1000/(1.73*AA12)</f>
        <v>11.192489527027012</v>
      </c>
      <c r="AA27" s="1228">
        <v>0.19400000000000001</v>
      </c>
      <c r="AB27" s="1229">
        <v>5.3999999999999999E-2</v>
      </c>
      <c r="AC27" s="1227">
        <f>SQRT(AD27^2+AE27^2)*1000/(1.73*AD12)</f>
        <v>10.716761585257521</v>
      </c>
      <c r="AD27" s="1228">
        <v>0.187</v>
      </c>
      <c r="AE27" s="1229">
        <v>4.7E-2</v>
      </c>
      <c r="AF27" s="1227">
        <f>SQRT(AG27^2+AH27^2)*1000/(1.73*AG12)</f>
        <v>11.63540541099284</v>
      </c>
      <c r="AG27" s="1228">
        <v>0.20399999999999999</v>
      </c>
      <c r="AH27" s="1229">
        <v>4.7E-2</v>
      </c>
      <c r="AI27" s="1227">
        <f>SQRT(AJ27^2+AK27^2)*1000/(1.73*AJ12)</f>
        <v>12.388414334077218</v>
      </c>
      <c r="AJ27" s="1228">
        <v>0.216</v>
      </c>
      <c r="AK27" s="1229">
        <v>5.5E-2</v>
      </c>
      <c r="AL27" s="1227">
        <f>SQRT(AM27^2+AN27^2)*1000/(1.73*AM12)</f>
        <v>12.618677165153887</v>
      </c>
      <c r="AM27" s="1228">
        <v>0.221</v>
      </c>
      <c r="AN27" s="1229">
        <v>5.1999999999999998E-2</v>
      </c>
      <c r="AO27" s="1227">
        <f>SQRT(AP27^2+AQ27^2)*1000/(1.73*AP12)</f>
        <v>12.160396482461735</v>
      </c>
      <c r="AP27" s="1228">
        <v>0.21299999999999999</v>
      </c>
      <c r="AQ27" s="1229">
        <v>0.05</v>
      </c>
      <c r="AR27" s="1227">
        <f>SQRT(AS27^2+AT27^2)*1000/(1.73*AS12)</f>
        <v>12.081261155352177</v>
      </c>
      <c r="AS27" s="1228">
        <v>0.21199999999999999</v>
      </c>
      <c r="AT27" s="1229">
        <v>4.8000000000000001E-2</v>
      </c>
      <c r="AU27" s="1227">
        <f>SQRT(AV27^2+AW27^2)*1000/(1.73*AV12)</f>
        <v>11.66099772473037</v>
      </c>
      <c r="AV27" s="1228">
        <v>0.20300000000000001</v>
      </c>
      <c r="AW27" s="1229">
        <v>5.2999999999999999E-2</v>
      </c>
      <c r="AX27" s="1227">
        <f>SQRT(AY27^2+AZ27^2)*1000/(1.73*AY12)</f>
        <v>13.94178450575648</v>
      </c>
      <c r="AY27" s="1228">
        <v>0.23599999999999999</v>
      </c>
      <c r="AZ27" s="1229">
        <v>8.5000000000000006E-2</v>
      </c>
      <c r="BA27" s="1227">
        <f>SQRT(BB27^2+BC27^2)*1000/(1.73*BB12)</f>
        <v>13.30505934547139</v>
      </c>
      <c r="BB27" s="1228">
        <v>0.22700000000000001</v>
      </c>
      <c r="BC27" s="1229">
        <v>7.5999999999999998E-2</v>
      </c>
      <c r="BD27" s="1227">
        <f>SQRT(BE27^2+BF27^2)*1000/(1.73*BE12)</f>
        <v>12.659616253897676</v>
      </c>
      <c r="BE27" s="1228">
        <v>0.218</v>
      </c>
      <c r="BF27" s="1229">
        <v>6.6000000000000003E-2</v>
      </c>
      <c r="BG27" s="1227">
        <f>SQRT(BH27^2+BI27^2)*1000/(1.73*BH12)</f>
        <v>12.052204388970715</v>
      </c>
      <c r="BH27" s="1228">
        <v>0.21099999999999999</v>
      </c>
      <c r="BI27" s="1229">
        <v>0.05</v>
      </c>
      <c r="BJ27" s="1227">
        <f>SQRT(BK27^2+BL27^2)*1000/(1.73*BK12)</f>
        <v>10.598209369989354</v>
      </c>
      <c r="BK27" s="1228">
        <v>0.186</v>
      </c>
      <c r="BL27" s="1229">
        <v>4.2000000000000003E-2</v>
      </c>
      <c r="BM27" s="1227">
        <f>SQRT(BN27^2+BO27^2)*1000/(1.73*BN12)</f>
        <v>10.744254716038794</v>
      </c>
      <c r="BN27" s="1228">
        <v>0.188</v>
      </c>
      <c r="BO27" s="1229">
        <v>4.4999999999999998E-2</v>
      </c>
      <c r="BP27" s="1227">
        <f>SQRT(BQ27^2+BR27^2)*1000/(1.73*BQ12)</f>
        <v>11.417922060243498</v>
      </c>
      <c r="BQ27" s="1228">
        <v>0.19900000000000001</v>
      </c>
      <c r="BR27" s="1229">
        <v>5.0999999999999997E-2</v>
      </c>
      <c r="BS27" s="1227">
        <f>SQRT(BT27^2+BU27^2)*1000/(1.73*BT12)</f>
        <v>10.231901296127145</v>
      </c>
      <c r="BT27" s="1228">
        <v>0.17899999999999999</v>
      </c>
      <c r="BU27" s="1229">
        <v>4.2999999999999997E-2</v>
      </c>
      <c r="BV27" s="1227">
        <f>SQRT(BW27^2+BX27^2)*1000/(1.73*BW12)</f>
        <v>11.04146273753444</v>
      </c>
      <c r="BW27" s="1228">
        <v>0.192</v>
      </c>
      <c r="BX27" s="1229">
        <v>5.0999999999999997E-2</v>
      </c>
      <c r="BY27" s="1227">
        <f>SQRT(BZ27^2+CA27^2)*1000/(1.73*BZ12)</f>
        <v>10.773111508829116</v>
      </c>
      <c r="BZ27" s="1228">
        <v>0.187</v>
      </c>
      <c r="CA27" s="1229">
        <v>5.0999999999999997E-2</v>
      </c>
      <c r="CB27" s="1230">
        <f>SUM(I27,L27,O27,R27,U27,X27,AA27,AD27,AG27,AJ27,AM27,AP27,AS27,AV27,AY27,BB27,BE27,BH27,BK27,BN27,BQ27,BT27,BW27,BZ27)</f>
        <v>4.7250000000000005</v>
      </c>
      <c r="CC27" s="1230">
        <f>SUM(J27,M27,P27,S27,V27,Y27,AB27,AE27,AH27,AK27,AN27,AQ27,AT27,AW27,AZ27,BC27,BF27,BI27,BL27,BO27,BR27,BU27,BX27,CA27)</f>
        <v>1.2659999999999998</v>
      </c>
    </row>
    <row r="28" spans="1:256" x14ac:dyDescent="0.2">
      <c r="A28" s="1231">
        <v>2</v>
      </c>
      <c r="B28" s="1232" t="s">
        <v>291</v>
      </c>
      <c r="C28" s="1233"/>
      <c r="D28" s="1234"/>
      <c r="E28" s="1235"/>
      <c r="F28" s="1236"/>
      <c r="G28" s="1237"/>
      <c r="H28" s="1238">
        <f>SQRT(I28^2+J28^2)*1000/(1.73*I18)</f>
        <v>22.043721670800288</v>
      </c>
      <c r="I28" s="1239">
        <v>0.374</v>
      </c>
      <c r="J28" s="1240">
        <v>0.13200000000000001</v>
      </c>
      <c r="K28" s="1238">
        <f>SQRT(L28^2+M28^2)*1000/(1.73*L18)</f>
        <v>22.30901824019562</v>
      </c>
      <c r="L28" s="1239">
        <v>0.378</v>
      </c>
      <c r="M28" s="1240">
        <v>0.13500000000000001</v>
      </c>
      <c r="N28" s="1238">
        <f>SQRT(O28^2+P28^2)*1000/(1.73*O18)</f>
        <v>22.313448890875062</v>
      </c>
      <c r="O28" s="1239">
        <v>0.377</v>
      </c>
      <c r="P28" s="1240">
        <v>0.13800000000000001</v>
      </c>
      <c r="Q28" s="1238">
        <f>SQRT(R28^2+S28^2)*1000/(1.73*R18)</f>
        <v>21.929141270802301</v>
      </c>
      <c r="R28" s="1239">
        <v>0.37</v>
      </c>
      <c r="S28" s="1240">
        <v>0.13700000000000001</v>
      </c>
      <c r="T28" s="1238">
        <f>SQRT(U28^2+V28^2)*1000/(1.73*U18)</f>
        <v>22.327773256073755</v>
      </c>
      <c r="U28" s="1239">
        <v>0.378</v>
      </c>
      <c r="V28" s="1240">
        <v>0.13600000000000001</v>
      </c>
      <c r="W28" s="1238">
        <f>SQRT(X28^2+Y28^2)*1000/(1.73*X18)</f>
        <v>22.30901824019562</v>
      </c>
      <c r="X28" s="1239">
        <v>0.378</v>
      </c>
      <c r="Y28" s="1240">
        <v>0.13500000000000001</v>
      </c>
      <c r="Z28" s="1238">
        <f>SQRT(AA28^2+AB28^2)*1000/(1.73*AA18)</f>
        <v>22.235229326671739</v>
      </c>
      <c r="AA28" s="1239">
        <v>0.378</v>
      </c>
      <c r="AB28" s="1240">
        <v>0.13100000000000001</v>
      </c>
      <c r="AC28" s="1238">
        <f>SQRT(AD28^2+AE28^2)*1000/(1.73*AD18)</f>
        <v>22.848827024338</v>
      </c>
      <c r="AD28" s="1239">
        <v>0.39</v>
      </c>
      <c r="AE28" s="1240">
        <v>0.13</v>
      </c>
      <c r="AF28" s="1238">
        <f>SQRT(AG28^2+AH28^2)*1000/(1.73*AG18)</f>
        <v>24.045255505857504</v>
      </c>
      <c r="AG28" s="1239">
        <v>0.40899999999999997</v>
      </c>
      <c r="AH28" s="1240">
        <v>0.14099999999999999</v>
      </c>
      <c r="AI28" s="1238">
        <f>SQRT(AJ28^2+AK28^2)*1000/(1.73*AJ18)</f>
        <v>26.194757963524427</v>
      </c>
      <c r="AJ28" s="1239">
        <v>0.438</v>
      </c>
      <c r="AK28" s="1240">
        <v>0.17399999999999999</v>
      </c>
      <c r="AL28" s="1238">
        <f>SQRT(AM28^2+AN28^2)*1000/(1.73*AM18)</f>
        <v>26.607622641795054</v>
      </c>
      <c r="AM28" s="1239">
        <v>0.44400000000000001</v>
      </c>
      <c r="AN28" s="1240">
        <v>0.17899999999999999</v>
      </c>
      <c r="AO28" s="1238">
        <f>SQRT(AP28^2+AQ28^2)*1000/(1.73*AP18)</f>
        <v>25.76700995668277</v>
      </c>
      <c r="AP28" s="1239">
        <v>0.434</v>
      </c>
      <c r="AQ28" s="1240">
        <v>0.16300000000000001</v>
      </c>
      <c r="AR28" s="1238">
        <f>SQRT(AS28^2+AT28^2)*1000/(1.73*AS18)</f>
        <v>24.677133776099943</v>
      </c>
      <c r="AS28" s="1239">
        <v>0.42199999999999999</v>
      </c>
      <c r="AT28" s="1240">
        <v>0.13800000000000001</v>
      </c>
      <c r="AU28" s="1238">
        <f>SQRT(AV28^2+AW28^2)*1000/(1.73*AV18)</f>
        <v>25.369024077481864</v>
      </c>
      <c r="AV28" s="1239">
        <v>0.42399999999999999</v>
      </c>
      <c r="AW28" s="1240">
        <v>0.16900000000000001</v>
      </c>
      <c r="AX28" s="1238">
        <f>SQRT(AY28^2+AZ28^2)*1000/(1.73*AY18)</f>
        <v>26.58880766725601</v>
      </c>
      <c r="AY28" s="1239">
        <v>0.442</v>
      </c>
      <c r="AZ28" s="1240">
        <v>0.183</v>
      </c>
      <c r="BA28" s="1238">
        <f>SQRT(BB28^2+BC28^2)*1000/(1.73*BB18)</f>
        <v>25.604588793042183</v>
      </c>
      <c r="BB28" s="1239">
        <v>0.432</v>
      </c>
      <c r="BC28" s="1240">
        <v>0.16</v>
      </c>
      <c r="BD28" s="1238">
        <f>SQRT(BE28^2+BF28^2)*1000/(1.73*BE18)</f>
        <v>26.29410305375281</v>
      </c>
      <c r="BE28" s="1239">
        <v>0.44800000000000001</v>
      </c>
      <c r="BF28" s="1240">
        <v>0.152</v>
      </c>
      <c r="BG28" s="1238">
        <f>SQRT(BH28^2+BI28^2)*1000/(1.73*BH18)</f>
        <v>25.012906906884709</v>
      </c>
      <c r="BH28" s="1239">
        <v>0.42499999999999999</v>
      </c>
      <c r="BI28" s="1240">
        <v>0.14799999999999999</v>
      </c>
      <c r="BJ28" s="1238">
        <f>SQRT(BK28^2+BL28^2)*1000/(1.73*BK18)</f>
        <v>24.325238169386704</v>
      </c>
      <c r="BK28" s="1239">
        <v>0.41499999999999998</v>
      </c>
      <c r="BL28" s="1240">
        <v>0.13900000000000001</v>
      </c>
      <c r="BM28" s="1238">
        <f>SQRT(BN28^2+BO28^2)*1000/(1.73*BN18)</f>
        <v>23.059846444402854</v>
      </c>
      <c r="BN28" s="1239">
        <v>0.39400000000000002</v>
      </c>
      <c r="BO28" s="1240">
        <v>0.13</v>
      </c>
      <c r="BP28" s="1238">
        <f>SQRT(BQ28^2+BR28^2)*1000/(1.73*BQ18)</f>
        <v>23.534350903025047</v>
      </c>
      <c r="BQ28" s="1239">
        <v>0.40200000000000002</v>
      </c>
      <c r="BR28" s="1240">
        <v>0.13300000000000001</v>
      </c>
      <c r="BS28" s="1238">
        <f>SQRT(BT28^2+BU28^2)*1000/(1.73*BT18)</f>
        <v>22.761116572476286</v>
      </c>
      <c r="BT28" s="1239">
        <v>0.38800000000000001</v>
      </c>
      <c r="BU28" s="1240">
        <v>0.13100000000000001</v>
      </c>
      <c r="BV28" s="1238">
        <f>SQRT(BW28^2+BX28^2)*1000/(1.73*BW18)</f>
        <v>23.059980406964218</v>
      </c>
      <c r="BW28" s="1239">
        <v>0.39300000000000002</v>
      </c>
      <c r="BX28" s="1240">
        <v>0.13300000000000001</v>
      </c>
      <c r="BY28" s="1238">
        <f>SQRT(BZ28^2+CA28^2)*1000/(1.73*BZ18)</f>
        <v>22.780719837843773</v>
      </c>
      <c r="BZ28" s="1239">
        <v>0.38700000000000001</v>
      </c>
      <c r="CA28" s="1240">
        <v>0.13500000000000001</v>
      </c>
      <c r="CB28" s="1230">
        <f t="shared" ref="CB28:CC45" si="2">SUM(I28,L28,O28,R28,U28,X28,AA28,AD28,AG28,AJ28,AM28,AP28,AS28,AV28,AY28,BB28,BE28,BH28,BK28,BN28,BQ28,BT28,BW28,BZ28)</f>
        <v>9.7200000000000024</v>
      </c>
      <c r="CC28" s="1230">
        <f t="shared" si="2"/>
        <v>3.4820000000000002</v>
      </c>
    </row>
    <row r="29" spans="1:256" x14ac:dyDescent="0.2">
      <c r="A29" s="1231">
        <v>3</v>
      </c>
      <c r="B29" s="1241" t="s">
        <v>292</v>
      </c>
      <c r="C29" s="1233"/>
      <c r="D29" s="1223"/>
      <c r="E29" s="1224"/>
      <c r="F29" s="1225"/>
      <c r="G29" s="1226"/>
      <c r="H29" s="1238">
        <f>SQRT(I29^2+J29^2)*1000/(1.73*I12)</f>
        <v>140.73976010565968</v>
      </c>
      <c r="I29" s="1239">
        <v>2.532</v>
      </c>
      <c r="J29" s="1240">
        <v>-3.1E-2</v>
      </c>
      <c r="K29" s="1238">
        <f>SQRT(L29^2+M29^2)*1000/(1.73*L12)</f>
        <v>134.45968361744738</v>
      </c>
      <c r="L29" s="1239">
        <v>2.419</v>
      </c>
      <c r="M29" s="1240">
        <v>3.1E-2</v>
      </c>
      <c r="N29" s="1238">
        <f>SQRT(O29^2+P29^2)*1000/(1.73*O12)</f>
        <v>130.27012962888216</v>
      </c>
      <c r="O29" s="1239">
        <v>2.343</v>
      </c>
      <c r="P29" s="1240">
        <v>6.2E-2</v>
      </c>
      <c r="Q29" s="1238">
        <f>SQRT(R29^2+S29^2)*1000/(1.73*R12)</f>
        <v>127.46590268328663</v>
      </c>
      <c r="R29" s="1239">
        <v>2.2930000000000001</v>
      </c>
      <c r="S29" s="1240">
        <v>4.1000000000000002E-2</v>
      </c>
      <c r="T29" s="1238">
        <f>SQRT(U29^2+V29^2)*1000/(1.73*U12)</f>
        <v>127.78022168093997</v>
      </c>
      <c r="U29" s="1239">
        <v>2.2989999999999999</v>
      </c>
      <c r="V29" s="1240">
        <v>-0.01</v>
      </c>
      <c r="W29" s="1238">
        <f>SQRT(X29^2+Y29^2)*1000/(1.73*X12)</f>
        <v>132.72594678191007</v>
      </c>
      <c r="X29" s="1239">
        <v>2.3879999999999999</v>
      </c>
      <c r="Y29" s="1240">
        <v>5.0000000000000001E-3</v>
      </c>
      <c r="Z29" s="1238">
        <f>SQRT(AA29^2+AB29^2)*1000/(1.73*AA12)</f>
        <v>150.3627191639068</v>
      </c>
      <c r="AA29" s="1239">
        <v>2.7050000000000001</v>
      </c>
      <c r="AB29" s="1240">
        <v>-4.2000000000000003E-2</v>
      </c>
      <c r="AC29" s="1238">
        <f>SQRT(AD29^2+AE29^2)*1000/(1.73*AD12)</f>
        <v>169.87421854735902</v>
      </c>
      <c r="AD29" s="1239">
        <v>3.056</v>
      </c>
      <c r="AE29" s="1240">
        <v>-4.8000000000000001E-2</v>
      </c>
      <c r="AF29" s="1238">
        <f>SQRT(AG29^2+AH29^2)*1000/(1.73*AG12)</f>
        <v>178.69274194799306</v>
      </c>
      <c r="AG29" s="1239">
        <v>3.2149999999999999</v>
      </c>
      <c r="AH29" s="1240">
        <v>-1.6E-2</v>
      </c>
      <c r="AI29" s="1238">
        <f>SQRT(AJ29^2+AK29^2)*1000/(1.73*AJ12)</f>
        <v>187.80954038173326</v>
      </c>
      <c r="AJ29" s="1239">
        <v>3.3780000000000001</v>
      </c>
      <c r="AK29" s="1240">
        <v>8.5000000000000006E-2</v>
      </c>
      <c r="AL29" s="1238">
        <f>SQRT(AM29^2+AN29^2)*1000/(1.73*AM12)</f>
        <v>189.73418235708959</v>
      </c>
      <c r="AM29" s="1239">
        <v>3.4129999999999998</v>
      </c>
      <c r="AN29" s="1240">
        <v>6.9000000000000006E-2</v>
      </c>
      <c r="AO29" s="1238">
        <f>SQRT(AP29^2+AQ29^2)*1000/(1.73*AP12)</f>
        <v>188.85306339606143</v>
      </c>
      <c r="AP29" s="1239">
        <v>3.395</v>
      </c>
      <c r="AQ29" s="1240">
        <v>0.13900000000000001</v>
      </c>
      <c r="AR29" s="1238">
        <f>SQRT(AS29^2+AT29^2)*1000/(1.73*AS12)</f>
        <v>190.16374858980902</v>
      </c>
      <c r="AS29" s="1239">
        <v>3.4209999999999998</v>
      </c>
      <c r="AT29" s="1240">
        <v>5.3999999999999999E-2</v>
      </c>
      <c r="AU29" s="1238">
        <f>SQRT(AV29^2+AW29^2)*1000/(1.73*AV12)</f>
        <v>189.23135260186578</v>
      </c>
      <c r="AV29" s="1239">
        <v>3.403</v>
      </c>
      <c r="AW29" s="1240">
        <v>0.106</v>
      </c>
      <c r="AX29" s="1238">
        <f>SQRT(AY29^2+AZ29^2)*1000/(1.73*AY12)</f>
        <v>190.17047380285902</v>
      </c>
      <c r="AY29" s="1239">
        <v>3.419</v>
      </c>
      <c r="AZ29" s="1240">
        <v>0.13200000000000001</v>
      </c>
      <c r="BA29" s="1238">
        <f>SQRT(BB29^2+BC29^2)*1000/(1.73*BB12)</f>
        <v>194.26839462663193</v>
      </c>
      <c r="BB29" s="1239">
        <v>3.4950000000000001</v>
      </c>
      <c r="BC29" s="1240">
        <v>4.3999999999999997E-2</v>
      </c>
      <c r="BD29" s="1238">
        <f>SQRT(BE29^2+BF29^2)*1000/(1.73*BE12)</f>
        <v>200.76070009609106</v>
      </c>
      <c r="BE29" s="1239">
        <v>3.6120000000000001</v>
      </c>
      <c r="BF29" s="1240">
        <v>2.5000000000000001E-2</v>
      </c>
      <c r="BG29" s="1238">
        <f>SQRT(BH29^2+BI29^2)*1000/(1.73*BH12)</f>
        <v>201.04025426289087</v>
      </c>
      <c r="BH29" s="1239">
        <v>3.617</v>
      </c>
      <c r="BI29" s="1240">
        <v>2.9000000000000001E-2</v>
      </c>
      <c r="BJ29" s="1238">
        <f>SQRT(BK29^2+BL29^2)*1000/(1.73*BK12)</f>
        <v>198.82180076850889</v>
      </c>
      <c r="BK29" s="1239">
        <v>3.577</v>
      </c>
      <c r="BL29" s="1240">
        <v>-3.7999999999999999E-2</v>
      </c>
      <c r="BM29" s="1238">
        <f>SQRT(BN29^2+BO29^2)*1000/(1.73*BN12)</f>
        <v>192.22173252389814</v>
      </c>
      <c r="BN29" s="1239">
        <v>3.4580000000000002</v>
      </c>
      <c r="BO29" s="1240">
        <v>-5.6000000000000001E-2</v>
      </c>
      <c r="BP29" s="1238">
        <f>SQRT(BQ29^2+BR29^2)*1000/(1.73*BQ12)</f>
        <v>187.53968333396372</v>
      </c>
      <c r="BQ29" s="1239">
        <v>3.3740000000000001</v>
      </c>
      <c r="BR29" s="1240">
        <v>-3.7999999999999999E-2</v>
      </c>
      <c r="BS29" s="1238">
        <f>SQRT(BT29^2+BU29^2)*1000/(1.73*BT12)</f>
        <v>176.30071821182156</v>
      </c>
      <c r="BT29" s="1239">
        <v>3.1720000000000002</v>
      </c>
      <c r="BU29" s="1240">
        <v>4.0000000000000001E-3</v>
      </c>
      <c r="BV29" s="1238">
        <f>SQRT(BW29^2+BX29^2)*1000/(1.73*BW12)</f>
        <v>166.63910491642861</v>
      </c>
      <c r="BW29" s="1239">
        <v>2.9980000000000002</v>
      </c>
      <c r="BX29" s="1240">
        <v>3.2000000000000001E-2</v>
      </c>
      <c r="BY29" s="1238">
        <f>SQRT(BZ29^2+CA29^2)*1000/(1.73*BZ12)</f>
        <v>152.40690478052372</v>
      </c>
      <c r="BZ29" s="1239">
        <v>2.742</v>
      </c>
      <c r="CA29" s="1240">
        <v>2.4E-2</v>
      </c>
      <c r="CB29" s="1230">
        <f t="shared" si="2"/>
        <v>73.72399999999999</v>
      </c>
      <c r="CC29" s="1230">
        <f t="shared" si="2"/>
        <v>0.60299999999999998</v>
      </c>
    </row>
    <row r="30" spans="1:256" x14ac:dyDescent="0.2">
      <c r="A30" s="1231">
        <v>4</v>
      </c>
      <c r="B30" s="1241" t="s">
        <v>293</v>
      </c>
      <c r="C30" s="1233"/>
      <c r="D30" s="1223"/>
      <c r="E30" s="1224"/>
      <c r="F30" s="1225"/>
      <c r="G30" s="1226"/>
      <c r="H30" s="1238">
        <f>SQRT(I30^2+J30^2)*1000/(1.73*I18)</f>
        <v>92.414192494552097</v>
      </c>
      <c r="I30" s="1239">
        <v>1.66</v>
      </c>
      <c r="J30" s="1240">
        <v>9.5000000000000001E-2</v>
      </c>
      <c r="K30" s="1238">
        <f>SQRT(L30^2+M30^2)*1000/(1.73*L18)</f>
        <v>87.108592501103772</v>
      </c>
      <c r="L30" s="1239">
        <v>1.5640000000000001</v>
      </c>
      <c r="M30" s="1240">
        <v>0.10100000000000001</v>
      </c>
      <c r="N30" s="1238">
        <f>SQRT(O30^2+P30^2)*1000/(1.73*O18)</f>
        <v>84.190754057589217</v>
      </c>
      <c r="O30" s="1239">
        <v>1.5129999999999999</v>
      </c>
      <c r="P30" s="1240">
        <v>7.2999999999999995E-2</v>
      </c>
      <c r="Q30" s="1238">
        <f>SQRT(R30^2+S30^2)*1000/(1.73*R18)</f>
        <v>82.224525091470653</v>
      </c>
      <c r="R30" s="1239">
        <v>1.476</v>
      </c>
      <c r="S30" s="1240">
        <v>0.1</v>
      </c>
      <c r="T30" s="1238">
        <f>SQRT(U30^2+V30^2)*1000/(1.73*U18)</f>
        <v>82.486888998467762</v>
      </c>
      <c r="U30" s="1239">
        <v>1.482</v>
      </c>
      <c r="V30" s="1240">
        <v>7.9000000000000001E-2</v>
      </c>
      <c r="W30" s="1238">
        <f>SQRT(X30^2+Y30^2)*1000/(1.73*X18)</f>
        <v>85.470257261814609</v>
      </c>
      <c r="X30" s="1239">
        <v>1.5369999999999999</v>
      </c>
      <c r="Y30" s="1240">
        <v>4.9000000000000002E-2</v>
      </c>
      <c r="Z30" s="1238">
        <f>SQRT(AA30^2+AB30^2)*1000/(1.73*AA18)</f>
        <v>96.422889433410461</v>
      </c>
      <c r="AA30" s="1239">
        <v>1.734</v>
      </c>
      <c r="AB30" s="1240">
        <v>5.3999999999999999E-2</v>
      </c>
      <c r="AC30" s="1238">
        <f>SQRT(AD30^2+AE30^2)*1000/(1.73*AD18)</f>
        <v>112.2105255228645</v>
      </c>
      <c r="AD30" s="1239">
        <v>2.0179999999999998</v>
      </c>
      <c r="AE30" s="1240">
        <v>0.06</v>
      </c>
      <c r="AF30" s="1238">
        <f>SQRT(AG30^2+AH30^2)*1000/(1.73*AG18)</f>
        <v>117.29686384883183</v>
      </c>
      <c r="AG30" s="1239">
        <v>2.109</v>
      </c>
      <c r="AH30" s="1240">
        <v>7.6999999999999999E-2</v>
      </c>
      <c r="AI30" s="1238">
        <f>SQRT(AJ30^2+AK30^2)*1000/(1.73*AJ18)</f>
        <v>118.9128934044499</v>
      </c>
      <c r="AJ30" s="1239">
        <v>2.137</v>
      </c>
      <c r="AK30" s="1240">
        <v>0.10299999999999999</v>
      </c>
      <c r="AL30" s="1238">
        <f>SQRT(AM30^2+AN30^2)*1000/(1.73*AM18)</f>
        <v>122.4053573133028</v>
      </c>
      <c r="AM30" s="1239">
        <v>2.2000000000000002</v>
      </c>
      <c r="AN30" s="1240">
        <v>0.10100000000000001</v>
      </c>
      <c r="AO30" s="1238">
        <f>SQRT(AP30^2+AQ30^2)*1000/(1.73*AP18)</f>
        <v>124.60247195796552</v>
      </c>
      <c r="AP30" s="1239">
        <v>2.2400000000000002</v>
      </c>
      <c r="AQ30" s="1240">
        <v>9.0999999999999998E-2</v>
      </c>
      <c r="AR30" s="1238">
        <f>SQRT(AS30^2+AT30^2)*1000/(1.73*AS18)</f>
        <v>123.7072213357873</v>
      </c>
      <c r="AS30" s="1239">
        <v>2.2240000000000002</v>
      </c>
      <c r="AT30" s="1240">
        <v>8.7999999999999995E-2</v>
      </c>
      <c r="AU30" s="1238">
        <f>SQRT(AV30^2+AW30^2)*1000/(1.73*AV18)</f>
        <v>122.1331999367313</v>
      </c>
      <c r="AV30" s="1239">
        <v>2.1960000000000002</v>
      </c>
      <c r="AW30" s="1240">
        <v>7.9000000000000001E-2</v>
      </c>
      <c r="AX30" s="1238">
        <f>SQRT(AY30^2+AZ30^2)*1000/(1.73*AY18)</f>
        <v>121.93174884160842</v>
      </c>
      <c r="AY30" s="1239">
        <v>2.19</v>
      </c>
      <c r="AZ30" s="1240">
        <v>0.129</v>
      </c>
      <c r="BA30" s="1238">
        <f>SQRT(BB30^2+BC30^2)*1000/(1.73*BB18)</f>
        <v>124.98599911981603</v>
      </c>
      <c r="BB30" s="1239">
        <v>2.2480000000000002</v>
      </c>
      <c r="BC30" s="1240">
        <v>5.8000000000000003E-2</v>
      </c>
      <c r="BD30" s="1238">
        <f>SQRT(BE30^2+BF30^2)*1000/(1.73*BE18)</f>
        <v>129.11598962177581</v>
      </c>
      <c r="BE30" s="1239">
        <v>2.3220000000000001</v>
      </c>
      <c r="BF30" s="1240">
        <v>7.0000000000000007E-2</v>
      </c>
      <c r="BG30" s="1238">
        <f>SQRT(BH30^2+BI30^2)*1000/(1.73*BH18)</f>
        <v>130.25539083411098</v>
      </c>
      <c r="BH30" s="1239">
        <v>2.343</v>
      </c>
      <c r="BI30" s="1240">
        <v>5.0999999999999997E-2</v>
      </c>
      <c r="BJ30" s="1238">
        <f>SQRT(BK30^2+BL30^2)*1000/(1.73*BK18)</f>
        <v>132.04112391798336</v>
      </c>
      <c r="BK30" s="1239">
        <v>2.375</v>
      </c>
      <c r="BL30" s="1240">
        <v>5.7000000000000002E-2</v>
      </c>
      <c r="BM30" s="1238">
        <f>SQRT(BN30^2+BO30^2)*1000/(1.73*BN18)</f>
        <v>131.77942011660309</v>
      </c>
      <c r="BN30" s="1239">
        <v>2.37</v>
      </c>
      <c r="BO30" s="1240">
        <v>6.8000000000000005E-2</v>
      </c>
      <c r="BP30" s="1238">
        <f>SQRT(BQ30^2+BR30^2)*1000/(1.73*BQ18)</f>
        <v>128.70568521803136</v>
      </c>
      <c r="BQ30" s="1239">
        <v>2.3140000000000001</v>
      </c>
      <c r="BR30" s="1240">
        <v>8.7999999999999995E-2</v>
      </c>
      <c r="BS30" s="1238">
        <f>SQRT(BT30^2+BU30^2)*1000/(1.73*BT18)</f>
        <v>119.56358625218202</v>
      </c>
      <c r="BT30" s="1239">
        <v>2.149</v>
      </c>
      <c r="BU30" s="1240">
        <v>9.7000000000000003E-2</v>
      </c>
      <c r="BV30" s="1238">
        <f>SQRT(BW30^2+BX30^2)*1000/(1.73*BW18)</f>
        <v>110.47523876343602</v>
      </c>
      <c r="BW30" s="1239">
        <v>1.9850000000000001</v>
      </c>
      <c r="BX30" s="1240">
        <v>0.10299999999999999</v>
      </c>
      <c r="BY30" s="1238">
        <f>SQRT(BZ30^2+CA30^2)*1000/(1.73*BZ18)</f>
        <v>101.75670591469968</v>
      </c>
      <c r="BZ30" s="1239">
        <v>1.827</v>
      </c>
      <c r="CA30" s="1240">
        <v>0.11799999999999999</v>
      </c>
      <c r="CB30" s="1230">
        <f t="shared" si="2"/>
        <v>48.212999999999994</v>
      </c>
      <c r="CC30" s="1230">
        <f t="shared" si="2"/>
        <v>1.9889999999999999</v>
      </c>
    </row>
    <row r="31" spans="1:256" x14ac:dyDescent="0.2">
      <c r="A31" s="1231">
        <v>5</v>
      </c>
      <c r="B31" s="1242" t="s">
        <v>294</v>
      </c>
      <c r="C31" s="1233"/>
      <c r="D31" s="1223"/>
      <c r="E31" s="1224"/>
      <c r="F31" s="1225"/>
      <c r="G31" s="1226"/>
      <c r="H31" s="1238">
        <f>SQRT(I31^2+J31^2)*1000/(1.73*I12)</f>
        <v>52.825840846473227</v>
      </c>
      <c r="I31" s="1239">
        <v>0.95</v>
      </c>
      <c r="J31" s="1240">
        <v>2.9000000000000001E-2</v>
      </c>
      <c r="K31" s="1238">
        <f>SQRT(L31^2+M31^2)*1000/(1.73*L12)</f>
        <v>46.74775500272775</v>
      </c>
      <c r="L31" s="1239">
        <v>0.84099999999999997</v>
      </c>
      <c r="M31" s="1240">
        <v>1.2E-2</v>
      </c>
      <c r="N31" s="1238">
        <f>SQRT(O31^2+P31^2)*1000/(1.73*O12)</f>
        <v>44.609935157313963</v>
      </c>
      <c r="O31" s="1239">
        <v>0.80100000000000005</v>
      </c>
      <c r="P31" s="1240">
        <v>5.0999999999999997E-2</v>
      </c>
      <c r="Q31" s="1238">
        <f>SQRT(R31^2+S31^2)*1000/(1.73*R12)</f>
        <v>43.594378023786319</v>
      </c>
      <c r="R31" s="1239">
        <v>0.78300000000000003</v>
      </c>
      <c r="S31" s="1240">
        <v>4.5999999999999999E-2</v>
      </c>
      <c r="T31" s="1238">
        <f>SQRT(U31^2+V31^2)*1000/(1.73*U12)</f>
        <v>43.243048008613904</v>
      </c>
      <c r="U31" s="1239">
        <v>0.77700000000000002</v>
      </c>
      <c r="V31" s="1240">
        <v>0.04</v>
      </c>
      <c r="W31" s="1238">
        <f>SQRT(X31^2+Y31^2)*1000/(1.73*X12)</f>
        <v>46.293550519194639</v>
      </c>
      <c r="X31" s="1239">
        <v>0.83199999999999996</v>
      </c>
      <c r="Y31" s="1240">
        <v>3.9E-2</v>
      </c>
      <c r="Z31" s="1238">
        <f>SQRT(AA31^2+AB31^2)*1000/(1.73*AA12)</f>
        <v>55.281014134390354</v>
      </c>
      <c r="AA31" s="1239">
        <v>0.99399999999999999</v>
      </c>
      <c r="AB31" s="1240">
        <v>3.5000000000000003E-2</v>
      </c>
      <c r="AC31" s="1238">
        <f>SQRT(AD31^2+AE31^2)*1000/(1.73*AD12)</f>
        <v>63.939041673907859</v>
      </c>
      <c r="AD31" s="1239">
        <v>1.1499999999999999</v>
      </c>
      <c r="AE31" s="1240">
        <v>0.03</v>
      </c>
      <c r="AF31" s="1238">
        <f>SQRT(AG31^2+AH31^2)*1000/(1.73*AG12)</f>
        <v>63.705668754302629</v>
      </c>
      <c r="AG31" s="1239">
        <v>1.1459999999999999</v>
      </c>
      <c r="AH31" s="1240">
        <v>2.1000000000000001E-2</v>
      </c>
      <c r="AI31" s="1238">
        <f>SQRT(AJ31^2+AK31^2)*1000/(1.73*AJ12)</f>
        <v>60.638698161315659</v>
      </c>
      <c r="AJ31" s="1239">
        <v>1.091</v>
      </c>
      <c r="AK31" s="1240">
        <v>5.0000000000000001E-3</v>
      </c>
      <c r="AL31" s="1238">
        <f>SQRT(AM31^2+AN31^2)*1000/(1.73*AM12)</f>
        <v>59.304369576685055</v>
      </c>
      <c r="AM31" s="1239">
        <v>1.0669999999999999</v>
      </c>
      <c r="AN31" s="1240">
        <v>3.0000000000000001E-3</v>
      </c>
      <c r="AO31" s="1238">
        <f>SQRT(AP31^2+AQ31^2)*1000/(1.73*AP12)</f>
        <v>61.028034310818455</v>
      </c>
      <c r="AP31" s="1239">
        <v>1.0980000000000001</v>
      </c>
      <c r="AQ31" s="1240">
        <v>6.0000000000000001E-3</v>
      </c>
      <c r="AR31" s="1238">
        <f>SQRT(AS31^2+AT31^2)*1000/(1.73*AS12)</f>
        <v>62.937494747811755</v>
      </c>
      <c r="AS31" s="1239">
        <v>1.1319999999999999</v>
      </c>
      <c r="AT31" s="1240">
        <v>2.9000000000000001E-2</v>
      </c>
      <c r="AU31" s="1238">
        <f>SQRT(AV31^2+AW31^2)*1000/(1.73*AV12)</f>
        <v>61.858105389411143</v>
      </c>
      <c r="AV31" s="1239">
        <v>1.1120000000000001</v>
      </c>
      <c r="AW31" s="1240">
        <v>4.5999999999999999E-2</v>
      </c>
      <c r="AX31" s="1238">
        <f>SQRT(AY31^2+AZ31^2)*1000/(1.73*AY12)</f>
        <v>61.172859983112474</v>
      </c>
      <c r="AY31" s="1239">
        <v>1.1000000000000001</v>
      </c>
      <c r="AZ31" s="1240">
        <v>3.6999999999999998E-2</v>
      </c>
      <c r="BA31" s="1238">
        <f>SQRT(BB31^2+BC31^2)*1000/(1.73*BB12)</f>
        <v>64.371537277342043</v>
      </c>
      <c r="BB31" s="1239">
        <v>1.1579999999999999</v>
      </c>
      <c r="BC31" s="1240">
        <v>0.02</v>
      </c>
      <c r="BD31" s="1238">
        <f>SQRT(BE31^2+BF31^2)*1000/(1.73*BE12)</f>
        <v>65.643672949653833</v>
      </c>
      <c r="BE31" s="1239">
        <v>1.181</v>
      </c>
      <c r="BF31" s="1240">
        <v>-1.2E-2</v>
      </c>
      <c r="BG31" s="1238">
        <f>SQRT(BH31^2+BI31^2)*1000/(1.73*BH12)</f>
        <v>68.548125988556293</v>
      </c>
      <c r="BH31" s="1239">
        <v>1.2330000000000001</v>
      </c>
      <c r="BI31" s="1240">
        <v>2.8000000000000001E-2</v>
      </c>
      <c r="BJ31" s="1238">
        <f>SQRT(BK31^2+BL31^2)*1000/(1.73*BK12)</f>
        <v>73.486370732421918</v>
      </c>
      <c r="BK31" s="1239">
        <v>1.3220000000000001</v>
      </c>
      <c r="BL31" s="1240">
        <v>2.1000000000000001E-2</v>
      </c>
      <c r="BM31" s="1238">
        <f>SQRT(BN31^2+BO31^2)*1000/(1.73*BN12)</f>
        <v>77.150403218956825</v>
      </c>
      <c r="BN31" s="1239">
        <v>1.387</v>
      </c>
      <c r="BO31" s="1240">
        <v>5.5E-2</v>
      </c>
      <c r="BP31" s="1238">
        <f>SQRT(BQ31^2+BR31^2)*1000/(1.73*BQ12)</f>
        <v>77.574789780701082</v>
      </c>
      <c r="BQ31" s="1239">
        <v>1.395</v>
      </c>
      <c r="BR31" s="1240">
        <v>4.4999999999999998E-2</v>
      </c>
      <c r="BS31" s="1238">
        <f>SQRT(BT31^2+BU31^2)*1000/(1.73*BT12)</f>
        <v>75.567078879384425</v>
      </c>
      <c r="BT31" s="1239">
        <v>1.3580000000000001</v>
      </c>
      <c r="BU31" s="1240">
        <v>6.6000000000000003E-2</v>
      </c>
      <c r="BV31" s="1238">
        <f>SQRT(BW31^2+BX31^2)*1000/(1.73*BW12)</f>
        <v>68.144796188596544</v>
      </c>
      <c r="BW31" s="1239">
        <v>1.2250000000000001</v>
      </c>
      <c r="BX31" s="1240">
        <v>5.0999999999999997E-2</v>
      </c>
      <c r="BY31" s="1238">
        <f>SQRT(BZ31^2+CA31^2)*1000/(1.73*BZ12)</f>
        <v>60.020940102502607</v>
      </c>
      <c r="BZ31" s="1239">
        <v>1.079</v>
      </c>
      <c r="CA31" s="1240">
        <v>4.3999999999999997E-2</v>
      </c>
      <c r="CB31" s="1230">
        <f t="shared" si="2"/>
        <v>26.212000000000003</v>
      </c>
      <c r="CC31" s="1230">
        <f t="shared" si="2"/>
        <v>0.74700000000000022</v>
      </c>
    </row>
    <row r="32" spans="1:256" x14ac:dyDescent="0.2">
      <c r="A32" s="1231">
        <v>6</v>
      </c>
      <c r="B32" s="1221" t="s">
        <v>295</v>
      </c>
      <c r="C32" s="1233"/>
      <c r="D32" s="1223"/>
      <c r="E32" s="1224"/>
      <c r="F32" s="1225"/>
      <c r="G32" s="1226"/>
      <c r="H32" s="1238">
        <f>SQRT(I32^2+J32^2)*1000/(1.73*I18)</f>
        <v>39.805593562564475</v>
      </c>
      <c r="I32" s="1239">
        <v>0.71099999999999997</v>
      </c>
      <c r="J32" s="1240">
        <v>-8.5999999999999993E-2</v>
      </c>
      <c r="K32" s="1238">
        <f>SQRT(L32^2+M32^2)*1000/(1.73*L18)</f>
        <v>37.309715213930978</v>
      </c>
      <c r="L32" s="1239">
        <v>0.66600000000000004</v>
      </c>
      <c r="M32" s="1240">
        <v>-8.4000000000000005E-2</v>
      </c>
      <c r="N32" s="1238">
        <f>SQRT(O32^2+P32^2)*1000/(1.73*O18)</f>
        <v>37.254572479629161</v>
      </c>
      <c r="O32" s="1239">
        <v>0.66500000000000004</v>
      </c>
      <c r="P32" s="1240">
        <v>-8.4000000000000005E-2</v>
      </c>
      <c r="Q32" s="1238">
        <f>SQRT(R32^2+S32^2)*1000/(1.73*R18)</f>
        <v>36.241141147875226</v>
      </c>
      <c r="R32" s="1239">
        <v>0.64700000000000002</v>
      </c>
      <c r="S32" s="1240">
        <v>-8.1000000000000003E-2</v>
      </c>
      <c r="T32" s="1238">
        <f>SQRT(U32^2+V32^2)*1000/(1.73*U18)</f>
        <v>35.6827420002883</v>
      </c>
      <c r="U32" s="1239">
        <v>0.63700000000000001</v>
      </c>
      <c r="V32" s="1240">
        <v>-0.08</v>
      </c>
      <c r="W32" s="1238">
        <f>SQRT(X32^2+Y32^2)*1000/(1.73*X18)</f>
        <v>36.545446025919134</v>
      </c>
      <c r="X32" s="1239">
        <v>0.65400000000000003</v>
      </c>
      <c r="Y32" s="1240">
        <v>-6.8000000000000005E-2</v>
      </c>
      <c r="Z32" s="1238">
        <f>SQRT(AA32^2+AB32^2)*1000/(1.73*AA18)</f>
        <v>41.42429843456933</v>
      </c>
      <c r="AA32" s="1239">
        <v>0.74099999999999999</v>
      </c>
      <c r="AB32" s="1240">
        <v>-0.08</v>
      </c>
      <c r="AC32" s="1238">
        <f>SQRT(AD32^2+AE32^2)*1000/(1.73*AD18)</f>
        <v>47.002137739844045</v>
      </c>
      <c r="AD32" s="1239">
        <v>0.84399999999999997</v>
      </c>
      <c r="AE32" s="1240">
        <v>-5.2999999999999999E-2</v>
      </c>
      <c r="AF32" s="1238">
        <f>SQRT(AG32^2+AH32^2)*1000/(1.73*AG18)</f>
        <v>46.905687503091748</v>
      </c>
      <c r="AG32" s="1239">
        <v>0.84199999999999997</v>
      </c>
      <c r="AH32" s="1240">
        <v>-5.7000000000000002E-2</v>
      </c>
      <c r="AI32" s="1238">
        <f>SQRT(AJ32^2+AK32^2)*1000/(1.73*AJ18)</f>
        <v>46.569225144795446</v>
      </c>
      <c r="AJ32" s="1239">
        <v>0.83599999999999997</v>
      </c>
      <c r="AK32" s="1240">
        <v>-5.6000000000000001E-2</v>
      </c>
      <c r="AL32" s="1238">
        <f>SQRT(AM32^2+AN32^2)*1000/(1.73*AM18)</f>
        <v>45.834002797319712</v>
      </c>
      <c r="AM32" s="1239">
        <v>0.82199999999999995</v>
      </c>
      <c r="AN32" s="1240">
        <v>-6.6000000000000003E-2</v>
      </c>
      <c r="AO32" s="1238">
        <f>SQRT(AP32^2+AQ32^2)*1000/(1.73*AP18)</f>
        <v>45.996718403117121</v>
      </c>
      <c r="AP32" s="1239">
        <v>0.82599999999999996</v>
      </c>
      <c r="AQ32" s="1240">
        <v>-5.0999999999999997E-2</v>
      </c>
      <c r="AR32" s="1238">
        <f>SQRT(AS32^2+AT32^2)*1000/(1.73*AS18)</f>
        <v>46.795837658205997</v>
      </c>
      <c r="AS32" s="1239">
        <v>0.84099999999999997</v>
      </c>
      <c r="AT32" s="1240">
        <v>-0.04</v>
      </c>
      <c r="AU32" s="1238">
        <f>SQRT(AV32^2+AW32^2)*1000/(1.73*AV18)</f>
        <v>46.048671331320364</v>
      </c>
      <c r="AV32" s="1239">
        <v>0.82799999999999996</v>
      </c>
      <c r="AW32" s="1240">
        <v>-2.9000000000000001E-2</v>
      </c>
      <c r="AX32" s="1238">
        <f>SQRT(AY32^2+AZ32^2)*1000/(1.73*AY18)</f>
        <v>46.418034645652313</v>
      </c>
      <c r="AY32" s="1239">
        <v>0.83499999999999996</v>
      </c>
      <c r="AZ32" s="1240">
        <v>-1.6E-2</v>
      </c>
      <c r="BA32" s="1238">
        <f>SQRT(BB32^2+BC32^2)*1000/(1.73*BB18)</f>
        <v>48.098636239813814</v>
      </c>
      <c r="BB32" s="1239">
        <v>0.86499999999999999</v>
      </c>
      <c r="BC32" s="1240">
        <v>-2.5999999999999999E-2</v>
      </c>
      <c r="BD32" s="1238">
        <f>SQRT(BE32^2+BF32^2)*1000/(1.73*BE18)</f>
        <v>49.458372853223992</v>
      </c>
      <c r="BE32" s="1239">
        <v>0.88900000000000001</v>
      </c>
      <c r="BF32" s="1240">
        <v>-3.9E-2</v>
      </c>
      <c r="BG32" s="1238">
        <f>SQRT(BH32^2+BI32^2)*1000/(1.73*BH18)</f>
        <v>51.03980808815178</v>
      </c>
      <c r="BH32" s="1239">
        <v>0.91700000000000004</v>
      </c>
      <c r="BI32" s="1240">
        <v>-4.9000000000000002E-2</v>
      </c>
      <c r="BJ32" s="1238">
        <f>SQRT(BK32^2+BL32^2)*1000/(1.73*BK18)</f>
        <v>51.345600567461609</v>
      </c>
      <c r="BK32" s="1239">
        <v>0.92100000000000004</v>
      </c>
      <c r="BL32" s="1240">
        <v>-7.1999999999999995E-2</v>
      </c>
      <c r="BM32" s="1238">
        <f>SQRT(BN32^2+BO32^2)*1000/(1.73*BN18)</f>
        <v>53.170208158076115</v>
      </c>
      <c r="BN32" s="1239">
        <v>0.95399999999999996</v>
      </c>
      <c r="BO32" s="1240">
        <v>-7.0999999999999994E-2</v>
      </c>
      <c r="BP32" s="1238">
        <f>SQRT(BQ32^2+BR32^2)*1000/(1.73*BQ18)</f>
        <v>52.615484944577794</v>
      </c>
      <c r="BQ32" s="1239">
        <v>0.94499999999999995</v>
      </c>
      <c r="BR32" s="1240">
        <v>-5.6000000000000001E-2</v>
      </c>
      <c r="BS32" s="1238">
        <f>SQRT(BT32^2+BU32^2)*1000/(1.73*BT18)</f>
        <v>51.675683127512613</v>
      </c>
      <c r="BT32" s="1239">
        <v>0.92800000000000005</v>
      </c>
      <c r="BU32" s="1240">
        <v>-5.7000000000000002E-2</v>
      </c>
      <c r="BV32" s="1238">
        <f>SQRT(BW32^2+BX32^2)*1000/(1.73*BW18)</f>
        <v>47.492021336747094</v>
      </c>
      <c r="BW32" s="1239">
        <v>0.85099999999999998</v>
      </c>
      <c r="BX32" s="1240">
        <v>-7.6999999999999999E-2</v>
      </c>
      <c r="BY32" s="1238">
        <f>SQRT(BZ32^2+CA32^2)*1000/(1.73*BZ18)</f>
        <v>43.421131603770341</v>
      </c>
      <c r="BZ32" s="1239">
        <v>0.77800000000000002</v>
      </c>
      <c r="CA32" s="1240">
        <v>-7.0999999999999994E-2</v>
      </c>
      <c r="CB32" s="1230">
        <f t="shared" si="2"/>
        <v>19.442999999999998</v>
      </c>
      <c r="CC32" s="1230">
        <f t="shared" si="2"/>
        <v>-1.4490000000000003</v>
      </c>
    </row>
    <row r="33" spans="1:81" customFormat="1" x14ac:dyDescent="0.2">
      <c r="A33" s="1231">
        <v>7</v>
      </c>
      <c r="B33" s="1241" t="s">
        <v>296</v>
      </c>
      <c r="C33" s="1233"/>
      <c r="D33" s="1223"/>
      <c r="E33" s="1224"/>
      <c r="F33" s="1225"/>
      <c r="G33" s="1226"/>
      <c r="H33" s="1238">
        <f>SQRT(I33^2+J33^2)*1000/(1.73*I12)</f>
        <v>104.68253488164166</v>
      </c>
      <c r="I33" s="1239">
        <v>1.881</v>
      </c>
      <c r="J33" s="1240">
        <v>9.6000000000000002E-2</v>
      </c>
      <c r="K33" s="1238">
        <f>SQRT(L33^2+M33^2)*1000/(1.73*L12)</f>
        <v>100.03013582488975</v>
      </c>
      <c r="L33" s="1239">
        <v>1.796</v>
      </c>
      <c r="M33" s="1240">
        <v>0.11600000000000001</v>
      </c>
      <c r="N33" s="1238">
        <f>SQRT(O33^2+P33^2)*1000/(1.73*O12)</f>
        <v>97.148583158978269</v>
      </c>
      <c r="O33" s="1239">
        <v>1.7470000000000001</v>
      </c>
      <c r="P33" s="1240">
        <v>5.6000000000000001E-2</v>
      </c>
      <c r="Q33" s="1238">
        <f>SQRT(R33^2+S33^2)*1000/(1.73*R12)</f>
        <v>96.267718254877522</v>
      </c>
      <c r="R33" s="1239">
        <v>1.732</v>
      </c>
      <c r="S33" s="1240">
        <v>1.2999999999999999E-2</v>
      </c>
      <c r="T33" s="1238">
        <f>SQRT(U33^2+V33^2)*1000/(1.73*U12)</f>
        <v>96.43535128317896</v>
      </c>
      <c r="U33" s="1239">
        <v>1.7350000000000001</v>
      </c>
      <c r="V33" s="1240">
        <v>1.4999999999999999E-2</v>
      </c>
      <c r="W33" s="1238">
        <f>SQRT(X33^2+Y33^2)*1000/(1.73*X12)</f>
        <v>101.30384461058104</v>
      </c>
      <c r="X33" s="1239">
        <v>1.8220000000000001</v>
      </c>
      <c r="Y33" s="1240">
        <v>4.9000000000000002E-2</v>
      </c>
      <c r="Z33" s="1238">
        <f>SQRT(AA33^2+AB33^2)*1000/(1.73*AA12)</f>
        <v>115.46367504403165</v>
      </c>
      <c r="AA33" s="1239">
        <v>2.0720000000000001</v>
      </c>
      <c r="AB33" s="1240">
        <v>0.15</v>
      </c>
      <c r="AC33" s="1238">
        <f>SQRT(AD33^2+AE33^2)*1000/(1.73*AD12)</f>
        <v>137.82999627888432</v>
      </c>
      <c r="AD33" s="1239">
        <v>2.472</v>
      </c>
      <c r="AE33" s="1240">
        <v>0.19700000000000001</v>
      </c>
      <c r="AF33" s="1238">
        <f>SQRT(AG33^2+AH33^2)*1000/(1.73*AG12)</f>
        <v>153.80732509194368</v>
      </c>
      <c r="AG33" s="1239">
        <v>2.754</v>
      </c>
      <c r="AH33" s="1240">
        <v>0.27100000000000002</v>
      </c>
      <c r="AI33" s="1238">
        <f>SQRT(AJ33^2+AK33^2)*1000/(1.73*AJ12)</f>
        <v>164.02076886195809</v>
      </c>
      <c r="AJ33" s="1239">
        <v>2.9329999999999998</v>
      </c>
      <c r="AK33" s="1240">
        <v>0.32600000000000001</v>
      </c>
      <c r="AL33" s="1238">
        <f>SQRT(AM33^2+AN33^2)*1000/(1.73*AM12)</f>
        <v>170.01745607006913</v>
      </c>
      <c r="AM33" s="1239">
        <v>3.04</v>
      </c>
      <c r="AN33" s="1240">
        <v>0.34</v>
      </c>
      <c r="AO33" s="1238">
        <f>SQRT(AP33^2+AQ33^2)*1000/(1.73*AP12)</f>
        <v>167.79719439501065</v>
      </c>
      <c r="AP33" s="1239">
        <v>3.0019999999999998</v>
      </c>
      <c r="AQ33" s="1240">
        <v>0.32</v>
      </c>
      <c r="AR33" s="1238">
        <f>SQRT(AS33^2+AT33^2)*1000/(1.73*AS12)</f>
        <v>164.02963001359328</v>
      </c>
      <c r="AS33" s="1239">
        <v>2.9350000000000001</v>
      </c>
      <c r="AT33" s="1240">
        <v>0.309</v>
      </c>
      <c r="AU33" s="1238">
        <f>SQRT(AV33^2+AW33^2)*1000/(1.73*AV12)</f>
        <v>164.30600642170918</v>
      </c>
      <c r="AV33" s="1239">
        <v>2.94</v>
      </c>
      <c r="AW33" s="1240">
        <v>0.309</v>
      </c>
      <c r="AX33" s="1238">
        <f>SQRT(AY33^2+AZ33^2)*1000/(1.73*AY12)</f>
        <v>169.31890436763737</v>
      </c>
      <c r="AY33" s="1239">
        <v>3.0289999999999999</v>
      </c>
      <c r="AZ33" s="1240">
        <v>0.32500000000000001</v>
      </c>
      <c r="BA33" s="1238">
        <f>SQRT(BB33^2+BC33^2)*1000/(1.73*BB12)</f>
        <v>168.72871021370386</v>
      </c>
      <c r="BB33" s="1239">
        <v>3.02</v>
      </c>
      <c r="BC33" s="1240">
        <v>0.309</v>
      </c>
      <c r="BD33" s="1238">
        <f>SQRT(BE33^2+BF33^2)*1000/(1.73*BE12)</f>
        <v>163.84001365788262</v>
      </c>
      <c r="BE33" s="1239">
        <v>2.9340000000000002</v>
      </c>
      <c r="BF33" s="1240">
        <v>0.28499999999999998</v>
      </c>
      <c r="BG33" s="1238">
        <f>SQRT(BH33^2+BI33^2)*1000/(1.73*BH12)</f>
        <v>156.42039378630216</v>
      </c>
      <c r="BH33" s="1239">
        <v>2.802</v>
      </c>
      <c r="BI33" s="1240">
        <v>0.26300000000000001</v>
      </c>
      <c r="BJ33" s="1238">
        <f>SQRT(BK33^2+BL33^2)*1000/(1.73*BK12)</f>
        <v>147.00060952067693</v>
      </c>
      <c r="BK33" s="1239">
        <v>2.6360000000000001</v>
      </c>
      <c r="BL33" s="1240">
        <v>0.216</v>
      </c>
      <c r="BM33" s="1238">
        <f>SQRT(BN33^2+BO33^2)*1000/(1.73*BN12)</f>
        <v>142.68093080870935</v>
      </c>
      <c r="BN33" s="1239">
        <v>2.56</v>
      </c>
      <c r="BO33" s="1240">
        <v>0.191</v>
      </c>
      <c r="BP33" s="1238">
        <f>SQRT(BQ33^2+BR33^2)*1000/(1.73*BQ12)</f>
        <v>132.69355599565444</v>
      </c>
      <c r="BQ33" s="1239">
        <v>2.3809999999999998</v>
      </c>
      <c r="BR33" s="1240">
        <v>0.17499999999999999</v>
      </c>
      <c r="BS33" s="1238">
        <f>SQRT(BT33^2+BU33^2)*1000/(1.73*BT12)</f>
        <v>126.69463401560894</v>
      </c>
      <c r="BT33" s="1239">
        <v>2.2749999999999999</v>
      </c>
      <c r="BU33" s="1240">
        <v>0.14299999999999999</v>
      </c>
      <c r="BV33" s="1238">
        <f>SQRT(BW33^2+BX33^2)*1000/(1.73*BW12)</f>
        <v>113.21053215763393</v>
      </c>
      <c r="BW33" s="1239">
        <v>2.036</v>
      </c>
      <c r="BX33" s="1240">
        <v>0.06</v>
      </c>
      <c r="BY33" s="1238">
        <f>SQRT(BZ33^2+CA33^2)*1000/(1.73*BZ12)</f>
        <v>104.60737584282953</v>
      </c>
      <c r="BZ33" s="1239">
        <v>1.8819999999999999</v>
      </c>
      <c r="CA33" s="1240">
        <v>1.9E-2</v>
      </c>
      <c r="CB33" s="1230">
        <f t="shared" si="2"/>
        <v>58.416000000000004</v>
      </c>
      <c r="CC33" s="1230">
        <f t="shared" si="2"/>
        <v>4.5529999999999999</v>
      </c>
    </row>
    <row r="34" spans="1:81" customFormat="1" x14ac:dyDescent="0.2">
      <c r="A34" s="1231">
        <v>8</v>
      </c>
      <c r="B34" s="1241" t="s">
        <v>297</v>
      </c>
      <c r="C34" s="1233"/>
      <c r="D34" s="1223"/>
      <c r="E34" s="1224"/>
      <c r="F34" s="1225"/>
      <c r="G34" s="1226"/>
      <c r="H34" s="1238">
        <f>SQRT(I34^2+J34^2)*1000/(1.73*I18)</f>
        <v>31.2361049355269</v>
      </c>
      <c r="I34" s="1239">
        <v>0.56200000000000006</v>
      </c>
      <c r="J34" s="1240">
        <v>0</v>
      </c>
      <c r="K34" s="1238">
        <f>SQRT(L34^2+M34^2)*1000/(1.73*L18)</f>
        <v>29.346376167185415</v>
      </c>
      <c r="L34" s="1239">
        <v>0.52800000000000002</v>
      </c>
      <c r="M34" s="1240">
        <v>0</v>
      </c>
      <c r="N34" s="1238">
        <f>SQRT(O34^2+P34^2)*1000/(1.73*O18)</f>
        <v>28.179190751445084</v>
      </c>
      <c r="O34" s="1239">
        <v>0.50700000000000001</v>
      </c>
      <c r="P34" s="1240">
        <v>0</v>
      </c>
      <c r="Q34" s="1238">
        <f>SQRT(R34^2+S34^2)*1000/(1.73*R18)</f>
        <v>27.28990662516674</v>
      </c>
      <c r="R34" s="1239">
        <v>0.49099999999999999</v>
      </c>
      <c r="S34" s="1240">
        <v>0</v>
      </c>
      <c r="T34" s="1238">
        <f>SQRT(U34^2+V34^2)*1000/(1.73*U18)</f>
        <v>27.512227656736325</v>
      </c>
      <c r="U34" s="1239">
        <v>0.495</v>
      </c>
      <c r="V34" s="1240">
        <v>0</v>
      </c>
      <c r="W34" s="1238">
        <f>SQRT(X34^2+Y34^2)*1000/(1.73*X18)</f>
        <v>29.179635393508224</v>
      </c>
      <c r="X34" s="1239">
        <v>0.52500000000000002</v>
      </c>
      <c r="Y34" s="1240">
        <v>0</v>
      </c>
      <c r="Z34" s="1238">
        <f>SQRT(AA34^2+AB34^2)*1000/(1.73*AA18)</f>
        <v>35.182303245887056</v>
      </c>
      <c r="AA34" s="1239">
        <v>0.63300000000000001</v>
      </c>
      <c r="AB34" s="1240">
        <v>0</v>
      </c>
      <c r="AC34" s="1238">
        <f>SQRT(AD34^2+AE34^2)*1000/(1.73*AD18)</f>
        <v>40.184526456202754</v>
      </c>
      <c r="AD34" s="1239">
        <v>0.72299999999999998</v>
      </c>
      <c r="AE34" s="1240">
        <v>0</v>
      </c>
      <c r="AF34" s="1238">
        <f>SQRT(AG34^2+AH34^2)*1000/(1.73*AG18)</f>
        <v>43.408181413961756</v>
      </c>
      <c r="AG34" s="1239">
        <v>0.78100000000000003</v>
      </c>
      <c r="AH34" s="1240">
        <v>0</v>
      </c>
      <c r="AI34" s="1238">
        <f>SQRT(AJ34^2+AK34^2)*1000/(1.73*AJ18)</f>
        <v>42.963539350822586</v>
      </c>
      <c r="AJ34" s="1239">
        <v>0.77300000000000002</v>
      </c>
      <c r="AK34" s="1240">
        <v>0</v>
      </c>
      <c r="AL34" s="1238">
        <f>SQRT(AM34^2+AN34^2)*1000/(1.73*AM18)</f>
        <v>41.129390840373496</v>
      </c>
      <c r="AM34" s="1239">
        <v>0.74</v>
      </c>
      <c r="AN34" s="1240">
        <v>0</v>
      </c>
      <c r="AO34" s="1238">
        <f>SQRT(AP34^2+AQ34^2)*1000/(1.73*AP18)</f>
        <v>42.074255224544238</v>
      </c>
      <c r="AP34" s="1239">
        <v>0.75700000000000001</v>
      </c>
      <c r="AQ34" s="1240">
        <v>0</v>
      </c>
      <c r="AR34" s="1238">
        <f>SQRT(AS34^2+AT34^2)*1000/(1.73*AS18)</f>
        <v>44.186339980578524</v>
      </c>
      <c r="AS34" s="1239">
        <v>0.79500000000000004</v>
      </c>
      <c r="AT34" s="1240">
        <v>1E-3</v>
      </c>
      <c r="AU34" s="1238">
        <f>SQRT(AV34^2+AW34^2)*1000/(1.73*AV18)</f>
        <v>44.353045798132499</v>
      </c>
      <c r="AV34" s="1239">
        <v>0.79800000000000004</v>
      </c>
      <c r="AW34" s="1240">
        <v>0</v>
      </c>
      <c r="AX34" s="1238">
        <f>SQRT(AY34^2+AZ34^2)*1000/(1.73*AY18)</f>
        <v>42.57447754557581</v>
      </c>
      <c r="AY34" s="1239">
        <v>0.76600000000000001</v>
      </c>
      <c r="AZ34" s="1240">
        <v>0</v>
      </c>
      <c r="BA34" s="1238">
        <f>SQRT(BB34^2+BC34^2)*1000/(1.73*BB18)</f>
        <v>43.352601156069362</v>
      </c>
      <c r="BB34" s="1239">
        <v>0.78</v>
      </c>
      <c r="BC34" s="1240">
        <v>0</v>
      </c>
      <c r="BD34" s="1238">
        <f>SQRT(BE34^2+BF34^2)*1000/(1.73*BE18)</f>
        <v>43.797243219208532</v>
      </c>
      <c r="BE34" s="1239">
        <v>0.78800000000000003</v>
      </c>
      <c r="BF34" s="1240">
        <v>0</v>
      </c>
      <c r="BG34" s="1238">
        <f>SQRT(BH34^2+BI34^2)*1000/(1.73*BH18)</f>
        <v>43.574922187638947</v>
      </c>
      <c r="BH34" s="1239">
        <v>0.78400000000000003</v>
      </c>
      <c r="BI34" s="1240">
        <v>0</v>
      </c>
      <c r="BJ34" s="1238">
        <f>SQRT(BK34^2+BL34^2)*1000/(1.73*BK18)</f>
        <v>44.353045798132499</v>
      </c>
      <c r="BK34" s="1239">
        <v>0.79800000000000004</v>
      </c>
      <c r="BL34" s="1240">
        <v>0</v>
      </c>
      <c r="BM34" s="1238">
        <f>SQRT(BN34^2+BO34^2)*1000/(1.73*BN18)</f>
        <v>46.79857714539795</v>
      </c>
      <c r="BN34" s="1239">
        <v>0.84199999999999997</v>
      </c>
      <c r="BO34" s="1240">
        <v>0</v>
      </c>
      <c r="BP34" s="1238">
        <f>SQRT(BQ34^2+BR34^2)*1000/(1.73*BQ18)</f>
        <v>47.243219208537127</v>
      </c>
      <c r="BQ34" s="1239">
        <v>0.85</v>
      </c>
      <c r="BR34" s="1240">
        <v>0</v>
      </c>
      <c r="BS34" s="1238">
        <f>SQRT(BT34^2+BU34^2)*1000/(1.73*BT18)</f>
        <v>44.853268119164071</v>
      </c>
      <c r="BT34" s="1239">
        <v>0.80700000000000005</v>
      </c>
      <c r="BU34" s="1240">
        <v>0</v>
      </c>
      <c r="BV34" s="1238">
        <f>SQRT(BW34^2+BX34^2)*1000/(1.73*BW18)</f>
        <v>45.631391729657622</v>
      </c>
      <c r="BW34" s="1239">
        <v>0.82099999999999995</v>
      </c>
      <c r="BX34" s="1240">
        <v>0</v>
      </c>
      <c r="BY34" s="1238">
        <f>SQRT(BZ34^2+CA34^2)*1000/(1.73*BZ18)</f>
        <v>41.740773677189857</v>
      </c>
      <c r="BZ34" s="1239">
        <v>0.751</v>
      </c>
      <c r="CA34" s="1240">
        <v>0</v>
      </c>
      <c r="CB34" s="1230">
        <f t="shared" si="2"/>
        <v>17.095000000000002</v>
      </c>
      <c r="CC34" s="1230">
        <f t="shared" si="2"/>
        <v>1E-3</v>
      </c>
    </row>
    <row r="35" spans="1:81" customFormat="1" x14ac:dyDescent="0.2">
      <c r="A35" s="1231">
        <v>9</v>
      </c>
      <c r="B35" s="1243" t="s">
        <v>298</v>
      </c>
      <c r="C35" s="1233"/>
      <c r="D35" s="1223"/>
      <c r="E35" s="1224"/>
      <c r="F35" s="1225"/>
      <c r="G35" s="1226"/>
      <c r="H35" s="1238">
        <f>SQRT(I35^2+J35^2)*1000/(1.73*I12)</f>
        <v>0</v>
      </c>
      <c r="I35" s="1239">
        <v>0</v>
      </c>
      <c r="J35" s="1240">
        <v>0</v>
      </c>
      <c r="K35" s="1238">
        <f>SQRT(L35^2+M35^2)*1000/(1.73*L12)</f>
        <v>0</v>
      </c>
      <c r="L35" s="1239">
        <v>0</v>
      </c>
      <c r="M35" s="1240">
        <v>0</v>
      </c>
      <c r="N35" s="1238">
        <f>SQRT(O35^2+P35^2)*1000/(1.73*O12)</f>
        <v>0</v>
      </c>
      <c r="O35" s="1239">
        <v>0</v>
      </c>
      <c r="P35" s="1240">
        <v>0</v>
      </c>
      <c r="Q35" s="1238">
        <f>SQRT(R35^2+S35^2)*1000/(1.73*R12)</f>
        <v>0</v>
      </c>
      <c r="R35" s="1239">
        <v>0</v>
      </c>
      <c r="S35" s="1240">
        <v>0</v>
      </c>
      <c r="T35" s="1238">
        <f>SQRT(U35^2+V35^2)*1000/(1.73*U12)</f>
        <v>0</v>
      </c>
      <c r="U35" s="1239">
        <v>0</v>
      </c>
      <c r="V35" s="1240">
        <v>0</v>
      </c>
      <c r="W35" s="1238">
        <f>SQRT(X35^2+Y35^2)*1000/(1.73*X12)</f>
        <v>0</v>
      </c>
      <c r="X35" s="1239">
        <v>0</v>
      </c>
      <c r="Y35" s="1240">
        <v>0</v>
      </c>
      <c r="Z35" s="1238">
        <f>SQRT(AA35^2+AB35^2)*1000/(1.73*AA12)</f>
        <v>0</v>
      </c>
      <c r="AA35" s="1239">
        <v>0</v>
      </c>
      <c r="AB35" s="1240">
        <v>0</v>
      </c>
      <c r="AC35" s="1238">
        <f>SQRT(AD35^2+AE35^2)*1000/(1.73*AD12)</f>
        <v>0</v>
      </c>
      <c r="AD35" s="1239">
        <v>0</v>
      </c>
      <c r="AE35" s="1240">
        <v>0</v>
      </c>
      <c r="AF35" s="1238">
        <f>SQRT(AG35^2+AH35^2)*1000/(1.73*AG12)</f>
        <v>0</v>
      </c>
      <c r="AG35" s="1239">
        <v>0</v>
      </c>
      <c r="AH35" s="1240">
        <v>0</v>
      </c>
      <c r="AI35" s="1238">
        <f>SQRT(AJ35^2+AK35^2)*1000/(1.73*AJ12)</f>
        <v>0</v>
      </c>
      <c r="AJ35" s="1239">
        <v>0</v>
      </c>
      <c r="AK35" s="1240">
        <v>0</v>
      </c>
      <c r="AL35" s="1238">
        <f>SQRT(AM35^2+AN35^2)*1000/(1.73*AM12)</f>
        <v>0</v>
      </c>
      <c r="AM35" s="1239">
        <v>0</v>
      </c>
      <c r="AN35" s="1240">
        <v>0</v>
      </c>
      <c r="AO35" s="1238">
        <f>SQRT(AP35^2+AQ35^2)*1000/(1.73*AP12)</f>
        <v>0</v>
      </c>
      <c r="AP35" s="1239">
        <v>0</v>
      </c>
      <c r="AQ35" s="1240">
        <v>0</v>
      </c>
      <c r="AR35" s="1238">
        <f>SQRT(AS35^2+AT35^2)*1000/(1.73*AS12)</f>
        <v>0</v>
      </c>
      <c r="AS35" s="1239">
        <v>0</v>
      </c>
      <c r="AT35" s="1240">
        <v>0</v>
      </c>
      <c r="AU35" s="1238">
        <f>SQRT(AV35^2+AW35^2)*1000/(1.73*AV12)</f>
        <v>0</v>
      </c>
      <c r="AV35" s="1239">
        <v>0</v>
      </c>
      <c r="AW35" s="1240">
        <v>0</v>
      </c>
      <c r="AX35" s="1238">
        <f>SQRT(AY35^2+AZ35^2)*1000/(1.73*AY12)</f>
        <v>0</v>
      </c>
      <c r="AY35" s="1239">
        <v>0</v>
      </c>
      <c r="AZ35" s="1240">
        <v>0</v>
      </c>
      <c r="BA35" s="1238">
        <f>SQRT(BB35^2+BC35^2)*1000/(1.73*BB12)</f>
        <v>0</v>
      </c>
      <c r="BB35" s="1239">
        <v>0</v>
      </c>
      <c r="BC35" s="1240">
        <v>0</v>
      </c>
      <c r="BD35" s="1238">
        <f>SQRT(BE35^2+BF35^2)*1000/(1.73*BE12)</f>
        <v>0</v>
      </c>
      <c r="BE35" s="1239">
        <v>0</v>
      </c>
      <c r="BF35" s="1240">
        <v>0</v>
      </c>
      <c r="BG35" s="1238">
        <f>SQRT(BH35^2+BI35^2)*1000/(1.73*BH12)</f>
        <v>0</v>
      </c>
      <c r="BH35" s="1239">
        <v>0</v>
      </c>
      <c r="BI35" s="1240">
        <v>0</v>
      </c>
      <c r="BJ35" s="1238">
        <f>SQRT(BK35^2+BL35^2)*1000/(1.73*BK12)</f>
        <v>0</v>
      </c>
      <c r="BK35" s="1239">
        <v>0</v>
      </c>
      <c r="BL35" s="1240">
        <v>0</v>
      </c>
      <c r="BM35" s="1238">
        <f>SQRT(BN35^2+BO35^2)*1000/(1.73*BN12)</f>
        <v>0</v>
      </c>
      <c r="BN35" s="1239">
        <v>0</v>
      </c>
      <c r="BO35" s="1240">
        <v>0</v>
      </c>
      <c r="BP35" s="1238">
        <f>SQRT(BQ35^2+BR35^2)*1000/(1.73*BQ12)</f>
        <v>0</v>
      </c>
      <c r="BQ35" s="1239">
        <v>0</v>
      </c>
      <c r="BR35" s="1240">
        <v>0</v>
      </c>
      <c r="BS35" s="1238">
        <f>SQRT(BT35^2+BU35^2)*1000/(1.73*BT12)</f>
        <v>0</v>
      </c>
      <c r="BT35" s="1239">
        <v>0</v>
      </c>
      <c r="BU35" s="1240">
        <v>0</v>
      </c>
      <c r="BV35" s="1238">
        <f>SQRT(BW35^2+BX35^2)*1000/(1.73*BW12)</f>
        <v>0</v>
      </c>
      <c r="BW35" s="1239">
        <v>0</v>
      </c>
      <c r="BX35" s="1240">
        <v>0</v>
      </c>
      <c r="BY35" s="1238">
        <f>SQRT(BZ35^2+CA35^2)*1000/(1.73*BZ12)</f>
        <v>0</v>
      </c>
      <c r="BZ35" s="1239">
        <v>0</v>
      </c>
      <c r="CA35" s="1240">
        <v>0</v>
      </c>
      <c r="CB35" s="1230">
        <f t="shared" si="2"/>
        <v>0</v>
      </c>
      <c r="CC35" s="1230">
        <f t="shared" si="2"/>
        <v>0</v>
      </c>
    </row>
    <row r="36" spans="1:81" customFormat="1" x14ac:dyDescent="0.2">
      <c r="A36" s="1231">
        <v>10</v>
      </c>
      <c r="B36" s="1241" t="s">
        <v>299</v>
      </c>
      <c r="C36" s="1233"/>
      <c r="D36" s="1223"/>
      <c r="E36" s="1224"/>
      <c r="F36" s="1225"/>
      <c r="G36" s="1226"/>
      <c r="H36" s="1238">
        <f>SQRT(I36^2+J36^2)*1000/(1.73*I18)</f>
        <v>0</v>
      </c>
      <c r="I36" s="1239">
        <v>0</v>
      </c>
      <c r="J36" s="1240">
        <v>0</v>
      </c>
      <c r="K36" s="1238">
        <f>SQRT(L36^2+M36^2)*1000/(1.73*L18)</f>
        <v>0</v>
      </c>
      <c r="L36" s="1239">
        <v>0</v>
      </c>
      <c r="M36" s="1240">
        <v>0</v>
      </c>
      <c r="N36" s="1238">
        <f>SQRT(O36^2+P36^2)*1000/(1.73*O18)</f>
        <v>0</v>
      </c>
      <c r="O36" s="1239">
        <v>0</v>
      </c>
      <c r="P36" s="1240">
        <v>0</v>
      </c>
      <c r="Q36" s="1238">
        <f>SQRT(R36^2+S36^2)*1000/(1.73*R18)</f>
        <v>0</v>
      </c>
      <c r="R36" s="1239">
        <v>0</v>
      </c>
      <c r="S36" s="1240">
        <v>0</v>
      </c>
      <c r="T36" s="1238">
        <f>SQRT(U36^2+V36^2)*1000/(1.73*U18)</f>
        <v>0</v>
      </c>
      <c r="U36" s="1239">
        <v>0</v>
      </c>
      <c r="V36" s="1240">
        <v>0</v>
      </c>
      <c r="W36" s="1238">
        <f>SQRT(X36^2+Y36^2)*1000/(1.73*X18)</f>
        <v>0</v>
      </c>
      <c r="X36" s="1239">
        <v>0</v>
      </c>
      <c r="Y36" s="1240">
        <v>0</v>
      </c>
      <c r="Z36" s="1238">
        <f>SQRT(AA36^2+AB36^2)*1000/(1.73*AA18)</f>
        <v>0</v>
      </c>
      <c r="AA36" s="1239">
        <v>0</v>
      </c>
      <c r="AB36" s="1240">
        <v>0</v>
      </c>
      <c r="AC36" s="1238">
        <f>SQRT(AD36^2+AE36^2)*1000/(1.73*AD18)</f>
        <v>0</v>
      </c>
      <c r="AD36" s="1239">
        <v>0</v>
      </c>
      <c r="AE36" s="1240">
        <v>0</v>
      </c>
      <c r="AF36" s="1238">
        <f>SQRT(AG36^2+AH36^2)*1000/(1.73*AG18)</f>
        <v>0</v>
      </c>
      <c r="AG36" s="1239">
        <v>0</v>
      </c>
      <c r="AH36" s="1240">
        <v>0</v>
      </c>
      <c r="AI36" s="1238">
        <f>SQRT(AJ36^2+AK36^2)*1000/(1.73*AJ18)</f>
        <v>0</v>
      </c>
      <c r="AJ36" s="1239">
        <v>0</v>
      </c>
      <c r="AK36" s="1240">
        <v>0</v>
      </c>
      <c r="AL36" s="1238">
        <f>SQRT(AM36^2+AN36^2)*1000/(1.73*AM18)</f>
        <v>0</v>
      </c>
      <c r="AM36" s="1239">
        <v>0</v>
      </c>
      <c r="AN36" s="1240">
        <v>0</v>
      </c>
      <c r="AO36" s="1238">
        <f>SQRT(AP36^2+AQ36^2)*1000/(1.73*AP18)</f>
        <v>0</v>
      </c>
      <c r="AP36" s="1239">
        <v>0</v>
      </c>
      <c r="AQ36" s="1240">
        <v>0</v>
      </c>
      <c r="AR36" s="1238">
        <f>SQRT(AS36^2+AT36^2)*1000/(1.73*AS18)</f>
        <v>0</v>
      </c>
      <c r="AS36" s="1239">
        <v>0</v>
      </c>
      <c r="AT36" s="1240">
        <v>0</v>
      </c>
      <c r="AU36" s="1238">
        <f>SQRT(AV36^2+AW36^2)*1000/(1.73*AV18)</f>
        <v>0</v>
      </c>
      <c r="AV36" s="1239">
        <v>0</v>
      </c>
      <c r="AW36" s="1240">
        <v>0</v>
      </c>
      <c r="AX36" s="1238">
        <f>SQRT(AY36^2+AZ36^2)*1000/(1.73*AY18)</f>
        <v>0</v>
      </c>
      <c r="AY36" s="1239">
        <v>0</v>
      </c>
      <c r="AZ36" s="1240">
        <v>0</v>
      </c>
      <c r="BA36" s="1238">
        <f>SQRT(BB36^2+BC36^2)*1000/(1.73*BB18)</f>
        <v>0</v>
      </c>
      <c r="BB36" s="1239">
        <v>0</v>
      </c>
      <c r="BC36" s="1240">
        <v>0</v>
      </c>
      <c r="BD36" s="1238">
        <f>SQRT(BE36^2+BF36^2)*1000/(1.73*BE18)</f>
        <v>0</v>
      </c>
      <c r="BE36" s="1239">
        <v>0</v>
      </c>
      <c r="BF36" s="1240">
        <v>0</v>
      </c>
      <c r="BG36" s="1238">
        <f>SQRT(BH36^2+BI36^2)*1000/(1.73*BH18)</f>
        <v>0</v>
      </c>
      <c r="BH36" s="1239">
        <v>0</v>
      </c>
      <c r="BI36" s="1240">
        <v>0</v>
      </c>
      <c r="BJ36" s="1238">
        <f>SQRT(BK36^2+BL36^2)*1000/(1.73*BK18)</f>
        <v>0</v>
      </c>
      <c r="BK36" s="1239">
        <v>0</v>
      </c>
      <c r="BL36" s="1240">
        <v>0</v>
      </c>
      <c r="BM36" s="1238">
        <f>SQRT(BN36^2+BO36^2)*1000/(1.73*BN18)</f>
        <v>0</v>
      </c>
      <c r="BN36" s="1239">
        <v>0</v>
      </c>
      <c r="BO36" s="1240">
        <v>0</v>
      </c>
      <c r="BP36" s="1238">
        <f>SQRT(BQ36^2+BR36^2)*1000/(1.73*BQ18)</f>
        <v>0</v>
      </c>
      <c r="BQ36" s="1239">
        <v>0</v>
      </c>
      <c r="BR36" s="1240">
        <v>0</v>
      </c>
      <c r="BS36" s="1238">
        <f>SQRT(BT36^2+BU36^2)*1000/(1.73*BT18)</f>
        <v>0</v>
      </c>
      <c r="BT36" s="1239">
        <v>0</v>
      </c>
      <c r="BU36" s="1240">
        <v>0</v>
      </c>
      <c r="BV36" s="1238">
        <f>SQRT(BW36^2+BX36^2)*1000/(1.73*BW18)</f>
        <v>0</v>
      </c>
      <c r="BW36" s="1239">
        <v>0</v>
      </c>
      <c r="BX36" s="1240">
        <v>0</v>
      </c>
      <c r="BY36" s="1238">
        <f>SQRT(BZ36^2+CA36^2)*1000/(1.73*BZ18)</f>
        <v>0</v>
      </c>
      <c r="BZ36" s="1239">
        <v>0</v>
      </c>
      <c r="CA36" s="1240">
        <v>0</v>
      </c>
      <c r="CB36" s="1230">
        <f t="shared" si="2"/>
        <v>0</v>
      </c>
      <c r="CC36" s="1230">
        <f t="shared" si="2"/>
        <v>0</v>
      </c>
    </row>
    <row r="37" spans="1:81" customFormat="1" x14ac:dyDescent="0.2">
      <c r="A37" s="1231">
        <v>11</v>
      </c>
      <c r="B37" s="1241" t="s">
        <v>300</v>
      </c>
      <c r="C37" s="1233"/>
      <c r="D37" s="1244"/>
      <c r="E37" s="1245"/>
      <c r="F37" s="1246"/>
      <c r="G37" s="1247"/>
      <c r="H37" s="1238">
        <f>SQRT(I37^2+J37^2)*1000/(1.73*I12)</f>
        <v>35.126898874446383</v>
      </c>
      <c r="I37" s="1239">
        <v>0.63200000000000001</v>
      </c>
      <c r="J37" s="1240">
        <v>2E-3</v>
      </c>
      <c r="K37" s="1238">
        <f>SQRT(L37^2+M37^2)*1000/(1.73*L12)</f>
        <v>32.681238902819089</v>
      </c>
      <c r="L37" s="1239">
        <v>0.58799999999999997</v>
      </c>
      <c r="M37" s="1240">
        <v>1E-3</v>
      </c>
      <c r="N37" s="1238">
        <f>SQRT(O37^2+P37^2)*1000/(1.73*O12)</f>
        <v>31.514202274671455</v>
      </c>
      <c r="O37" s="1239">
        <v>0.56699999999999995</v>
      </c>
      <c r="P37" s="1240">
        <v>2E-3</v>
      </c>
      <c r="Q37" s="1238">
        <f>SQRT(R37^2+S37^2)*1000/(1.73*R12)</f>
        <v>31.514006224988883</v>
      </c>
      <c r="R37" s="1239">
        <v>0.56699999999999995</v>
      </c>
      <c r="S37" s="1240">
        <v>0</v>
      </c>
      <c r="T37" s="1238">
        <f>SQRT(U37^2+V37^2)*1000/(1.73*U12)</f>
        <v>30.958253538536283</v>
      </c>
      <c r="U37" s="1239">
        <v>0.55700000000000005</v>
      </c>
      <c r="V37" s="1240">
        <v>1E-3</v>
      </c>
      <c r="W37" s="1238">
        <f>SQRT(X37^2+Y37^2)*1000/(1.73*X12)</f>
        <v>31.736327256558468</v>
      </c>
      <c r="X37" s="1239">
        <v>0.57099999999999995</v>
      </c>
      <c r="Y37" s="1240">
        <v>0</v>
      </c>
      <c r="Z37" s="1238">
        <f>SQRT(AA37^2+AB37^2)*1000/(1.73*AA12)</f>
        <v>34.793419012896074</v>
      </c>
      <c r="AA37" s="1239">
        <v>0.626</v>
      </c>
      <c r="AB37" s="1240">
        <v>2E-3</v>
      </c>
      <c r="AC37" s="1238">
        <f>SQRT(AD37^2+AE37^2)*1000/(1.73*AD12)</f>
        <v>39.517719705088787</v>
      </c>
      <c r="AD37" s="1239">
        <v>0.71099999999999997</v>
      </c>
      <c r="AE37" s="1240">
        <v>2E-3</v>
      </c>
      <c r="AF37" s="1238">
        <f>SQRT(AG37^2+AH37^2)*1000/(1.73*AG12)</f>
        <v>42.846178772791447</v>
      </c>
      <c r="AG37" s="1239">
        <v>0.77</v>
      </c>
      <c r="AH37" s="1240">
        <v>3.6999999999999998E-2</v>
      </c>
      <c r="AI37" s="1238">
        <f>SQRT(AJ37^2+AK37^2)*1000/(1.73*AJ12)</f>
        <v>41.286256147866048</v>
      </c>
      <c r="AJ37" s="1239">
        <v>0.74099999999999999</v>
      </c>
      <c r="AK37" s="1240">
        <v>5.1999999999999998E-2</v>
      </c>
      <c r="AL37" s="1238">
        <f>SQRT(AM37^2+AN37^2)*1000/(1.73*AM12)</f>
        <v>41.223169499307822</v>
      </c>
      <c r="AM37" s="1239">
        <v>0.74</v>
      </c>
      <c r="AN37" s="1240">
        <v>0.05</v>
      </c>
      <c r="AO37" s="1238">
        <f>SQRT(AP37^2+AQ37^2)*1000/(1.73*AP12)</f>
        <v>41.79712998201051</v>
      </c>
      <c r="AP37" s="1239">
        <v>0.75</v>
      </c>
      <c r="AQ37" s="1240">
        <v>5.5E-2</v>
      </c>
      <c r="AR37" s="1238">
        <f>SQRT(AS37^2+AT37^2)*1000/(1.73*AS12)</f>
        <v>39.686211255057678</v>
      </c>
      <c r="AS37" s="1239">
        <v>0.71399999999999997</v>
      </c>
      <c r="AT37" s="1240">
        <v>7.0000000000000001E-3</v>
      </c>
      <c r="AU37" s="1238">
        <f>SQRT(AV37^2+AW37^2)*1000/(1.73*AV12)</f>
        <v>42.506108272304253</v>
      </c>
      <c r="AV37" s="1239">
        <v>0.76300000000000001</v>
      </c>
      <c r="AW37" s="1240">
        <v>5.1999999999999998E-2</v>
      </c>
      <c r="AX37" s="1238">
        <f>SQRT(AY37^2+AZ37^2)*1000/(1.73*AY12)</f>
        <v>42.565370406550265</v>
      </c>
      <c r="AY37" s="1239">
        <v>0.76400000000000001</v>
      </c>
      <c r="AZ37" s="1240">
        <v>5.2999999999999999E-2</v>
      </c>
      <c r="BA37" s="1238">
        <f>SQRT(BB37^2+BC37^2)*1000/(1.73*BB12)</f>
        <v>43.704782235941025</v>
      </c>
      <c r="BB37" s="1239">
        <v>0.78600000000000003</v>
      </c>
      <c r="BC37" s="1240">
        <v>2.3E-2</v>
      </c>
      <c r="BD37" s="1238">
        <f>SQRT(BE37^2+BF37^2)*1000/(1.73*BE12)</f>
        <v>46.933735082295662</v>
      </c>
      <c r="BE37" s="1239">
        <v>0.84399999999999997</v>
      </c>
      <c r="BF37" s="1240">
        <v>2.7E-2</v>
      </c>
      <c r="BG37" s="1238">
        <f>SQRT(BH37^2+BI37^2)*1000/(1.73*BH12)</f>
        <v>47.702142870749121</v>
      </c>
      <c r="BH37" s="1239">
        <v>0.85799999999999998</v>
      </c>
      <c r="BI37" s="1240">
        <v>2.1000000000000001E-2</v>
      </c>
      <c r="BJ37" s="1238">
        <f>SQRT(BK37^2+BL37^2)*1000/(1.73*BK12)</f>
        <v>48.141776514587583</v>
      </c>
      <c r="BK37" s="1239">
        <v>0.86599999999999999</v>
      </c>
      <c r="BL37" s="1240">
        <v>1.7000000000000001E-2</v>
      </c>
      <c r="BM37" s="1238">
        <f>SQRT(BN37^2+BO37^2)*1000/(1.73*BN12)</f>
        <v>49.582854930635634</v>
      </c>
      <c r="BN37" s="1239">
        <v>0.89200000000000002</v>
      </c>
      <c r="BO37" s="1240">
        <v>1.2999999999999999E-2</v>
      </c>
      <c r="BP37" s="1238">
        <f>SQRT(BQ37^2+BR37^2)*1000/(1.73*BQ12)</f>
        <v>48.188211805358272</v>
      </c>
      <c r="BQ37" s="1239">
        <v>0.86699999999999999</v>
      </c>
      <c r="BR37" s="1240">
        <v>2E-3</v>
      </c>
      <c r="BS37" s="1238">
        <f>SQRT(BT37^2+BU37^2)*1000/(1.73*BT12)</f>
        <v>46.465128839812714</v>
      </c>
      <c r="BT37" s="1239">
        <v>0.83599999999999997</v>
      </c>
      <c r="BU37" s="1240">
        <v>1E-3</v>
      </c>
      <c r="BV37" s="1238">
        <f>SQRT(BW37^2+BX37^2)*1000/(1.73*BW12)</f>
        <v>42.907959092930192</v>
      </c>
      <c r="BW37" s="1239">
        <v>0.77200000000000002</v>
      </c>
      <c r="BX37" s="1240">
        <v>0</v>
      </c>
      <c r="BY37" s="1238">
        <f>SQRT(BZ37^2+CA37^2)*1000/(1.73*BZ12)</f>
        <v>39.350979593881817</v>
      </c>
      <c r="BZ37" s="1239">
        <v>0.70799999999999996</v>
      </c>
      <c r="CA37" s="1240">
        <v>2E-3</v>
      </c>
      <c r="CB37" s="1230">
        <f t="shared" si="2"/>
        <v>17.489999999999995</v>
      </c>
      <c r="CC37" s="1230">
        <f t="shared" si="2"/>
        <v>0.4220000000000001</v>
      </c>
    </row>
    <row r="38" spans="1:81" customFormat="1" x14ac:dyDescent="0.2">
      <c r="A38" s="1231">
        <v>12</v>
      </c>
      <c r="B38" s="1241" t="s">
        <v>301</v>
      </c>
      <c r="C38" s="1233"/>
      <c r="D38" s="1244"/>
      <c r="E38" s="1245"/>
      <c r="F38" s="1246"/>
      <c r="G38" s="1247"/>
      <c r="H38" s="1238">
        <f>SQRT(I38^2+J38^2)*1000/(1.73*I18)</f>
        <v>26.122721209426409</v>
      </c>
      <c r="I38" s="1239">
        <v>0.47</v>
      </c>
      <c r="J38" s="1240">
        <v>0</v>
      </c>
      <c r="K38" s="1238">
        <f>SQRT(L38^2+M38^2)*1000/(1.73*L18)</f>
        <v>24.399733214762115</v>
      </c>
      <c r="L38" s="1239">
        <v>0.439</v>
      </c>
      <c r="M38" s="1240">
        <v>0</v>
      </c>
      <c r="N38" s="1238">
        <f>SQRT(O38^2+P38^2)*1000/(1.73*O18)</f>
        <v>23.788350377945754</v>
      </c>
      <c r="O38" s="1239">
        <v>0.42799999999999999</v>
      </c>
      <c r="P38" s="1240">
        <v>0</v>
      </c>
      <c r="Q38" s="1238">
        <f>SQRT(R38^2+S38^2)*1000/(1.73*R18)</f>
        <v>24.899955535793683</v>
      </c>
      <c r="R38" s="1239">
        <v>0.44800000000000001</v>
      </c>
      <c r="S38" s="1240">
        <v>0</v>
      </c>
      <c r="T38" s="1238">
        <f>SQRT(U38^2+V38^2)*1000/(1.73*U18)</f>
        <v>24.788795020008891</v>
      </c>
      <c r="U38" s="1239">
        <v>0.44600000000000001</v>
      </c>
      <c r="V38" s="1240">
        <v>0</v>
      </c>
      <c r="W38" s="1238">
        <f>SQRT(X38^2+Y38^2)*1000/(1.73*X18)</f>
        <v>25.900400177856824</v>
      </c>
      <c r="X38" s="1239">
        <v>0.46600000000000003</v>
      </c>
      <c r="Y38" s="1240">
        <v>0</v>
      </c>
      <c r="Z38" s="1238">
        <f>SQRT(AA38^2+AB38^2)*1000/(1.73*AA18)</f>
        <v>28.401511783014673</v>
      </c>
      <c r="AA38" s="1239">
        <v>0.51100000000000001</v>
      </c>
      <c r="AB38" s="1240">
        <v>0</v>
      </c>
      <c r="AC38" s="1238">
        <f>SQRT(AD38^2+AE38^2)*1000/(1.73*AD18)</f>
        <v>31.958648288128057</v>
      </c>
      <c r="AD38" s="1239">
        <v>0.57499999999999996</v>
      </c>
      <c r="AE38" s="1240">
        <v>0</v>
      </c>
      <c r="AF38" s="1238">
        <f>SQRT(AG38^2+AH38^2)*1000/(1.73*AG18)</f>
        <v>35.238584824975746</v>
      </c>
      <c r="AG38" s="1239">
        <v>0.63400000000000001</v>
      </c>
      <c r="AH38" s="1240">
        <v>4.0000000000000001E-3</v>
      </c>
      <c r="AI38" s="1238">
        <f>SQRT(AJ38^2+AK38^2)*1000/(1.73*AJ18)</f>
        <v>34.238160675638539</v>
      </c>
      <c r="AJ38" s="1239">
        <v>0.61599999999999999</v>
      </c>
      <c r="AK38" s="1240">
        <v>4.0000000000000001E-3</v>
      </c>
      <c r="AL38" s="1238">
        <f>SQRT(AM38^2+AN38^2)*1000/(1.73*AM18)</f>
        <v>33.793528109846768</v>
      </c>
      <c r="AM38" s="1239">
        <v>0.60799999999999998</v>
      </c>
      <c r="AN38" s="1240">
        <v>4.0000000000000001E-3</v>
      </c>
      <c r="AO38" s="1238">
        <f>SQRT(AP38^2+AQ38^2)*1000/(1.73*AP18)</f>
        <v>33.685350600175923</v>
      </c>
      <c r="AP38" s="1239">
        <v>0.60599999999999998</v>
      </c>
      <c r="AQ38" s="1240">
        <v>8.9999999999999993E-3</v>
      </c>
      <c r="AR38" s="1238">
        <f>SQRT(AS38^2+AT38^2)*1000/(1.73*AS18)</f>
        <v>31.291685193419298</v>
      </c>
      <c r="AS38" s="1239">
        <v>0.56299999999999994</v>
      </c>
      <c r="AT38" s="1240">
        <v>0</v>
      </c>
      <c r="AU38" s="1238">
        <f>SQRT(AV38^2+AW38^2)*1000/(1.73*AV18)</f>
        <v>33.404890968708884</v>
      </c>
      <c r="AV38" s="1239">
        <v>0.60099999999999998</v>
      </c>
      <c r="AW38" s="1240">
        <v>5.0000000000000001E-3</v>
      </c>
      <c r="AX38" s="1238">
        <f>SQRT(AY38^2+AZ38^2)*1000/(1.73*AY18)</f>
        <v>32.792776070995188</v>
      </c>
      <c r="AY38" s="1239">
        <v>0.59</v>
      </c>
      <c r="AZ38" s="1240">
        <v>3.0000000000000001E-3</v>
      </c>
      <c r="BA38" s="1238">
        <f>SQRT(BB38^2+BC38^2)*1000/(1.73*BB18)</f>
        <v>33.403919952079171</v>
      </c>
      <c r="BB38" s="1239">
        <v>0.60099999999999998</v>
      </c>
      <c r="BC38" s="1240">
        <v>2E-3</v>
      </c>
      <c r="BD38" s="1238">
        <f>SQRT(BE38^2+BF38^2)*1000/(1.73*BE18)</f>
        <v>33.794442226679102</v>
      </c>
      <c r="BE38" s="1239">
        <v>0.60799999999999998</v>
      </c>
      <c r="BF38" s="1240">
        <v>6.0000000000000001E-3</v>
      </c>
      <c r="BG38" s="1238">
        <f>SQRT(BH38^2+BI38^2)*1000/(1.73*BH18)</f>
        <v>33.51531028459253</v>
      </c>
      <c r="BH38" s="1239">
        <v>0.60299999999999998</v>
      </c>
      <c r="BI38" s="1240">
        <v>3.0000000000000001E-3</v>
      </c>
      <c r="BJ38" s="1238">
        <f>SQRT(BK38^2+BL38^2)*1000/(1.73*BK18)</f>
        <v>34.293199282045975</v>
      </c>
      <c r="BK38" s="1239">
        <v>0.61699999999999999</v>
      </c>
      <c r="BL38" s="1240">
        <v>2E-3</v>
      </c>
      <c r="BM38" s="1238">
        <f>SQRT(BN38^2+BO38^2)*1000/(1.73*BN18)</f>
        <v>34.515384901759511</v>
      </c>
      <c r="BN38" s="1239">
        <v>0.621</v>
      </c>
      <c r="BO38" s="1240">
        <v>1E-3</v>
      </c>
      <c r="BP38" s="1238">
        <f>SQRT(BQ38^2+BR38^2)*1000/(1.73*BQ18)</f>
        <v>34.793285833789191</v>
      </c>
      <c r="BQ38" s="1239">
        <v>0.626</v>
      </c>
      <c r="BR38" s="1240">
        <v>1E-3</v>
      </c>
      <c r="BS38" s="1238">
        <f>SQRT(BT38^2+BU38^2)*1000/(1.73*BT18)</f>
        <v>34.682125460289953</v>
      </c>
      <c r="BT38" s="1239">
        <v>0.624</v>
      </c>
      <c r="BU38" s="1240">
        <v>1E-3</v>
      </c>
      <c r="BV38" s="1238">
        <f>SQRT(BW38^2+BX38^2)*1000/(1.73*BW18)</f>
        <v>31.958648288128057</v>
      </c>
      <c r="BW38" s="1239">
        <v>0.57499999999999996</v>
      </c>
      <c r="BX38" s="1240">
        <v>0</v>
      </c>
      <c r="BY38" s="1238">
        <f>SQRT(BZ38^2+CA38^2)*1000/(1.73*BZ18)</f>
        <v>28.734993330369051</v>
      </c>
      <c r="BZ38" s="1239">
        <v>0.51700000000000002</v>
      </c>
      <c r="CA38" s="1240">
        <v>0</v>
      </c>
      <c r="CB38" s="1230">
        <f t="shared" si="2"/>
        <v>13.392999999999999</v>
      </c>
      <c r="CC38" s="1230">
        <f t="shared" si="2"/>
        <v>4.5000000000000005E-2</v>
      </c>
    </row>
    <row r="39" spans="1:81" customFormat="1" x14ac:dyDescent="0.2">
      <c r="A39" s="1231">
        <v>13</v>
      </c>
      <c r="B39" s="1241" t="s">
        <v>302</v>
      </c>
      <c r="C39" s="1233"/>
      <c r="D39" s="1244"/>
      <c r="E39" s="1245"/>
      <c r="F39" s="1246"/>
      <c r="G39" s="1247"/>
      <c r="H39" s="1248">
        <f>SQRT(I39^2+J39^2)*1000/(1.73*I12)</f>
        <v>0</v>
      </c>
      <c r="I39" s="1239">
        <v>0</v>
      </c>
      <c r="J39" s="1240">
        <v>0</v>
      </c>
      <c r="K39" s="1248">
        <f>SQRT(L39^2+M39^2)*1000/(1.73*L12)</f>
        <v>0</v>
      </c>
      <c r="L39" s="1239">
        <v>0</v>
      </c>
      <c r="M39" s="1240">
        <v>0</v>
      </c>
      <c r="N39" s="1248">
        <f>SQRT(O39^2+P39^2)*1000/(1.73*O12)</f>
        <v>0</v>
      </c>
      <c r="O39" s="1239">
        <v>0</v>
      </c>
      <c r="P39" s="1240">
        <v>0</v>
      </c>
      <c r="Q39" s="1248">
        <f>SQRT(R39^2+S39^2)*1000/(1.73*R12)</f>
        <v>0</v>
      </c>
      <c r="R39" s="1239">
        <v>0</v>
      </c>
      <c r="S39" s="1240">
        <v>0</v>
      </c>
      <c r="T39" s="1248">
        <f>SQRT(U39^2+V39^2)*1000/(1.73*U12)</f>
        <v>0</v>
      </c>
      <c r="U39" s="1239">
        <v>0</v>
      </c>
      <c r="V39" s="1240">
        <v>0</v>
      </c>
      <c r="W39" s="1248">
        <f>SQRT(X39^2+Y39^2)*1000/(1.73*X12)</f>
        <v>0</v>
      </c>
      <c r="X39" s="1239">
        <v>0</v>
      </c>
      <c r="Y39" s="1240">
        <v>0</v>
      </c>
      <c r="Z39" s="1248">
        <f>SQRT(AA39^2+AB39^2)*1000/(1.73*AA12)</f>
        <v>0</v>
      </c>
      <c r="AA39" s="1239">
        <v>0</v>
      </c>
      <c r="AB39" s="1240">
        <v>0</v>
      </c>
      <c r="AC39" s="1248">
        <f>SQRT(AD39^2+AE39^2)*1000/(1.73*AD12)</f>
        <v>0</v>
      </c>
      <c r="AD39" s="1239">
        <v>0</v>
      </c>
      <c r="AE39" s="1240">
        <v>0</v>
      </c>
      <c r="AF39" s="1248">
        <f>SQRT(AG39^2+AH39^2)*1000/(1.73*AG12)</f>
        <v>0</v>
      </c>
      <c r="AG39" s="1239">
        <v>0</v>
      </c>
      <c r="AH39" s="1240">
        <v>0</v>
      </c>
      <c r="AI39" s="1248">
        <f>SQRT(AJ39^2+AK39^2)*1000/(1.73*AJ12)</f>
        <v>0</v>
      </c>
      <c r="AJ39" s="1239">
        <v>0</v>
      </c>
      <c r="AK39" s="1240">
        <v>0</v>
      </c>
      <c r="AL39" s="1248">
        <f>SQRT(AM39^2+AN39^2)*1000/(1.73*AM12)</f>
        <v>0</v>
      </c>
      <c r="AM39" s="1239">
        <v>0</v>
      </c>
      <c r="AN39" s="1240">
        <v>0</v>
      </c>
      <c r="AO39" s="1248">
        <f>SQRT(AP39^2+AQ39^2)*1000/(1.73*AP12)</f>
        <v>0</v>
      </c>
      <c r="AP39" s="1239">
        <v>0</v>
      </c>
      <c r="AQ39" s="1240">
        <v>0</v>
      </c>
      <c r="AR39" s="1248">
        <f>SQRT(AS39^2+AT39^2)*1000/(1.73*AS12)</f>
        <v>0</v>
      </c>
      <c r="AS39" s="1239">
        <v>0</v>
      </c>
      <c r="AT39" s="1240">
        <v>0</v>
      </c>
      <c r="AU39" s="1248">
        <f>SQRT(AV39^2+AW39^2)*1000/(1.73*AV12)</f>
        <v>0</v>
      </c>
      <c r="AV39" s="1239">
        <v>0</v>
      </c>
      <c r="AW39" s="1240">
        <v>0</v>
      </c>
      <c r="AX39" s="1248">
        <f>SQRT(AY39^2+AZ39^2)*1000/(1.73*AY12)</f>
        <v>0</v>
      </c>
      <c r="AY39" s="1239">
        <v>0</v>
      </c>
      <c r="AZ39" s="1240">
        <v>0</v>
      </c>
      <c r="BA39" s="1248">
        <f>SQRT(BB39^2+BC39^2)*1000/(1.73*BB12)</f>
        <v>0</v>
      </c>
      <c r="BB39" s="1239">
        <v>0</v>
      </c>
      <c r="BC39" s="1240">
        <v>0</v>
      </c>
      <c r="BD39" s="1248">
        <f>SQRT(BE39^2+BF39^2)*1000/(1.73*BE12)</f>
        <v>0</v>
      </c>
      <c r="BE39" s="1239">
        <v>0</v>
      </c>
      <c r="BF39" s="1240">
        <v>0</v>
      </c>
      <c r="BG39" s="1248">
        <f>SQRT(BH39^2+BI39^2)*1000/(1.73*BH12)</f>
        <v>0</v>
      </c>
      <c r="BH39" s="1239">
        <v>0</v>
      </c>
      <c r="BI39" s="1240">
        <v>0</v>
      </c>
      <c r="BJ39" s="1248">
        <f>SQRT(BK39^2+BL39^2)*1000/(1.73*BK12)</f>
        <v>0</v>
      </c>
      <c r="BK39" s="1239">
        <v>0</v>
      </c>
      <c r="BL39" s="1240">
        <v>0</v>
      </c>
      <c r="BM39" s="1248">
        <f>SQRT(BN39^2+BO39^2)*1000/(1.73*BN12)</f>
        <v>0</v>
      </c>
      <c r="BN39" s="1239">
        <v>0</v>
      </c>
      <c r="BO39" s="1240">
        <v>0</v>
      </c>
      <c r="BP39" s="1248">
        <f>SQRT(BQ39^2+BR39^2)*1000/(1.73*BQ12)</f>
        <v>0</v>
      </c>
      <c r="BQ39" s="1239">
        <v>0</v>
      </c>
      <c r="BR39" s="1240">
        <v>0</v>
      </c>
      <c r="BS39" s="1248">
        <f>SQRT(BT39^2+BU39^2)*1000/(1.73*BT12)</f>
        <v>0</v>
      </c>
      <c r="BT39" s="1239">
        <v>0</v>
      </c>
      <c r="BU39" s="1240">
        <v>0</v>
      </c>
      <c r="BV39" s="1248">
        <f>SQRT(BW39^2+BX39^2)*1000/(1.73*BW12)</f>
        <v>0</v>
      </c>
      <c r="BW39" s="1239">
        <v>0</v>
      </c>
      <c r="BX39" s="1240">
        <v>0</v>
      </c>
      <c r="BY39" s="1248">
        <f>SQRT(BZ39^2+CA39^2)*1000/(1.73*BZ12)</f>
        <v>0</v>
      </c>
      <c r="BZ39" s="1239">
        <v>0</v>
      </c>
      <c r="CA39" s="1240">
        <v>0</v>
      </c>
      <c r="CB39" s="1230">
        <f t="shared" si="2"/>
        <v>0</v>
      </c>
      <c r="CC39" s="1230">
        <f t="shared" si="2"/>
        <v>0</v>
      </c>
    </row>
    <row r="40" spans="1:81" customFormat="1" x14ac:dyDescent="0.2">
      <c r="A40" s="1231">
        <v>14</v>
      </c>
      <c r="B40" s="1241" t="s">
        <v>303</v>
      </c>
      <c r="C40" s="1249"/>
      <c r="D40" s="1244"/>
      <c r="E40" s="1245"/>
      <c r="F40" s="1246"/>
      <c r="G40" s="1247"/>
      <c r="H40" s="1248">
        <f>SQRT(I40^2+J40^2)*1000/(1.73*I18)</f>
        <v>0</v>
      </c>
      <c r="I40" s="1239">
        <v>0</v>
      </c>
      <c r="J40" s="1240">
        <v>0</v>
      </c>
      <c r="K40" s="1248">
        <f>SQRT(L40^2+M40^2)*1000/(1.73*L18)</f>
        <v>0</v>
      </c>
      <c r="L40" s="1239">
        <v>0</v>
      </c>
      <c r="M40" s="1240">
        <v>0</v>
      </c>
      <c r="N40" s="1248">
        <f>SQRT(O40^2+P40^2)*1000/(1.73*O18)</f>
        <v>0</v>
      </c>
      <c r="O40" s="1239">
        <v>0</v>
      </c>
      <c r="P40" s="1240">
        <v>0</v>
      </c>
      <c r="Q40" s="1248">
        <f>SQRT(R40^2+S40^2)*1000/(1.73*R18)</f>
        <v>0</v>
      </c>
      <c r="R40" s="1239">
        <v>0</v>
      </c>
      <c r="S40" s="1240">
        <v>0</v>
      </c>
      <c r="T40" s="1248">
        <f>SQRT(U40^2+V40^2)*1000/(1.73*U18)</f>
        <v>0</v>
      </c>
      <c r="U40" s="1239">
        <v>0</v>
      </c>
      <c r="V40" s="1240">
        <v>0</v>
      </c>
      <c r="W40" s="1248">
        <f>SQRT(X40^2+Y40^2)*1000/(1.73*X18)</f>
        <v>0</v>
      </c>
      <c r="X40" s="1239">
        <v>0</v>
      </c>
      <c r="Y40" s="1240">
        <v>0</v>
      </c>
      <c r="Z40" s="1248">
        <f>SQRT(AA40^2+AB40^2)*1000/(1.73*AA18)</f>
        <v>0</v>
      </c>
      <c r="AA40" s="1239">
        <v>0</v>
      </c>
      <c r="AB40" s="1240">
        <v>0</v>
      </c>
      <c r="AC40" s="1248">
        <f>SQRT(AD40^2+AE40^2)*1000/(1.73*AD18)</f>
        <v>0</v>
      </c>
      <c r="AD40" s="1239">
        <v>0</v>
      </c>
      <c r="AE40" s="1240">
        <v>0</v>
      </c>
      <c r="AF40" s="1248">
        <f>SQRT(AG40^2+AH40^2)*1000/(1.73*AG18)</f>
        <v>0</v>
      </c>
      <c r="AG40" s="1239">
        <v>0</v>
      </c>
      <c r="AH40" s="1240">
        <v>0</v>
      </c>
      <c r="AI40" s="1248">
        <f>SQRT(AJ40^2+AK40^2)*1000/(1.73*AJ18)</f>
        <v>0</v>
      </c>
      <c r="AJ40" s="1239">
        <v>0</v>
      </c>
      <c r="AK40" s="1240">
        <v>0</v>
      </c>
      <c r="AL40" s="1248">
        <f>SQRT(AM40^2+AN40^2)*1000/(1.73*AM18)</f>
        <v>0</v>
      </c>
      <c r="AM40" s="1239">
        <v>0</v>
      </c>
      <c r="AN40" s="1240">
        <v>0</v>
      </c>
      <c r="AO40" s="1248">
        <f>SQRT(AP40^2+AQ40^2)*1000/(1.73*AP18)</f>
        <v>0</v>
      </c>
      <c r="AP40" s="1239">
        <v>0</v>
      </c>
      <c r="AQ40" s="1240">
        <v>0</v>
      </c>
      <c r="AR40" s="1248">
        <f>SQRT(AS40^2+AT40^2)*1000/(1.73*AS18)</f>
        <v>0</v>
      </c>
      <c r="AS40" s="1239">
        <v>0</v>
      </c>
      <c r="AT40" s="1240">
        <v>0</v>
      </c>
      <c r="AU40" s="1248">
        <f>SQRT(AV40^2+AW40^2)*1000/(1.73*AV18)</f>
        <v>0</v>
      </c>
      <c r="AV40" s="1239">
        <v>0</v>
      </c>
      <c r="AW40" s="1240">
        <v>0</v>
      </c>
      <c r="AX40" s="1248">
        <f>SQRT(AY40^2+AZ40^2)*1000/(1.73*AY18)</f>
        <v>0</v>
      </c>
      <c r="AY40" s="1239">
        <v>0</v>
      </c>
      <c r="AZ40" s="1240">
        <v>0</v>
      </c>
      <c r="BA40" s="1248">
        <f>SQRT(BB40^2+BC40^2)*1000/(1.73*BB18)</f>
        <v>0</v>
      </c>
      <c r="BB40" s="1239">
        <v>0</v>
      </c>
      <c r="BC40" s="1240">
        <v>0</v>
      </c>
      <c r="BD40" s="1248">
        <f>SQRT(BE40^2+BF40^2)*1000/(1.73*BE18)</f>
        <v>0</v>
      </c>
      <c r="BE40" s="1239">
        <v>0</v>
      </c>
      <c r="BF40" s="1240">
        <v>0</v>
      </c>
      <c r="BG40" s="1248">
        <f>SQRT(BH40^2+BI40^2)*1000/(1.73*BH18)</f>
        <v>0</v>
      </c>
      <c r="BH40" s="1239">
        <v>0</v>
      </c>
      <c r="BI40" s="1240">
        <v>0</v>
      </c>
      <c r="BJ40" s="1248">
        <f>SQRT(BK40^2+BL40^2)*1000/(1.73*BK18)</f>
        <v>0</v>
      </c>
      <c r="BK40" s="1239">
        <v>0</v>
      </c>
      <c r="BL40" s="1240">
        <v>0</v>
      </c>
      <c r="BM40" s="1248">
        <f>SQRT(BN40^2+BO40^2)*1000/(1.73*BN18)</f>
        <v>0</v>
      </c>
      <c r="BN40" s="1239">
        <v>0</v>
      </c>
      <c r="BO40" s="1240">
        <v>0</v>
      </c>
      <c r="BP40" s="1248">
        <f>SQRT(BQ40^2+BR40^2)*1000/(1.73*BQ18)</f>
        <v>0</v>
      </c>
      <c r="BQ40" s="1239">
        <v>0</v>
      </c>
      <c r="BR40" s="1240">
        <v>0</v>
      </c>
      <c r="BS40" s="1248">
        <f>SQRT(BT40^2+BU40^2)*1000/(1.73*BT18)</f>
        <v>0</v>
      </c>
      <c r="BT40" s="1239">
        <v>0</v>
      </c>
      <c r="BU40" s="1240">
        <v>0</v>
      </c>
      <c r="BV40" s="1248">
        <f>SQRT(BW40^2+BX40^2)*1000/(1.73*BW18)</f>
        <v>0</v>
      </c>
      <c r="BW40" s="1239">
        <v>0</v>
      </c>
      <c r="BX40" s="1240">
        <v>0</v>
      </c>
      <c r="BY40" s="1248">
        <f>SQRT(BZ40^2+CA40^2)*1000/(1.73*BZ18)</f>
        <v>0</v>
      </c>
      <c r="BZ40" s="1239">
        <v>0</v>
      </c>
      <c r="CA40" s="1240">
        <v>0</v>
      </c>
      <c r="CB40" s="1230">
        <f t="shared" si="2"/>
        <v>0</v>
      </c>
      <c r="CC40" s="1230">
        <f t="shared" si="2"/>
        <v>0</v>
      </c>
    </row>
    <row r="41" spans="1:81" customFormat="1" x14ac:dyDescent="0.2">
      <c r="A41" s="1250">
        <v>15</v>
      </c>
      <c r="B41" s="1251" t="s">
        <v>182</v>
      </c>
      <c r="C41" s="1233"/>
      <c r="D41" s="1252"/>
      <c r="E41" s="1253"/>
      <c r="F41" s="1254"/>
      <c r="G41" s="1255"/>
      <c r="H41" s="1248">
        <f>SQRT(I41^2+J41^2)*1000/(1.73*I12)</f>
        <v>0</v>
      </c>
      <c r="I41" s="1239">
        <v>0</v>
      </c>
      <c r="J41" s="1240">
        <v>0</v>
      </c>
      <c r="K41" s="1248">
        <f>SQRT(L41^2+M41^2)*1000/(1.73*L12)</f>
        <v>0</v>
      </c>
      <c r="L41" s="1239">
        <v>0</v>
      </c>
      <c r="M41" s="1240">
        <v>0</v>
      </c>
      <c r="N41" s="1248">
        <f>SQRT(O41^2+P41^2)*1000/(1.73*O12)</f>
        <v>0</v>
      </c>
      <c r="O41" s="1239">
        <v>0</v>
      </c>
      <c r="P41" s="1240">
        <v>0</v>
      </c>
      <c r="Q41" s="1248">
        <f>SQRT(R41^2+S41^2)*1000/(1.73*R12)</f>
        <v>0</v>
      </c>
      <c r="R41" s="1239">
        <v>0</v>
      </c>
      <c r="S41" s="1240">
        <v>0</v>
      </c>
      <c r="T41" s="1248">
        <f>SQRT(U41^2+V41^2)*1000/(1.73*U12)</f>
        <v>0</v>
      </c>
      <c r="U41" s="1239">
        <v>0</v>
      </c>
      <c r="V41" s="1240">
        <v>0</v>
      </c>
      <c r="W41" s="1248">
        <f>SQRT(X41^2+Y41^2)*1000/(1.73*X12)</f>
        <v>0</v>
      </c>
      <c r="X41" s="1239">
        <v>0</v>
      </c>
      <c r="Y41" s="1240">
        <v>0</v>
      </c>
      <c r="Z41" s="1248">
        <f>SQRT(AA41^2+AB41^2)*1000/(1.73*AA12)</f>
        <v>0</v>
      </c>
      <c r="AA41" s="1239">
        <v>0</v>
      </c>
      <c r="AB41" s="1240">
        <v>0</v>
      </c>
      <c r="AC41" s="1248">
        <f>SQRT(AD41^2+AE41^2)*1000/(1.73*AD12)</f>
        <v>0</v>
      </c>
      <c r="AD41" s="1239">
        <v>0</v>
      </c>
      <c r="AE41" s="1240">
        <v>0</v>
      </c>
      <c r="AF41" s="1248">
        <f>SQRT(AG41^2+AH41^2)*1000/(1.73*AG12)</f>
        <v>0</v>
      </c>
      <c r="AG41" s="1239">
        <v>0</v>
      </c>
      <c r="AH41" s="1240">
        <v>0</v>
      </c>
      <c r="AI41" s="1248">
        <f>SQRT(AJ41^2+AK41^2)*1000/(1.73*AJ12)</f>
        <v>0</v>
      </c>
      <c r="AJ41" s="1239">
        <v>0</v>
      </c>
      <c r="AK41" s="1240">
        <v>0</v>
      </c>
      <c r="AL41" s="1248">
        <f>SQRT(AM41^2+AN41^2)*1000/(1.73*AM12)</f>
        <v>0</v>
      </c>
      <c r="AM41" s="1239">
        <v>0</v>
      </c>
      <c r="AN41" s="1240">
        <v>0</v>
      </c>
      <c r="AO41" s="1248">
        <f>SQRT(AP41^2+AQ41^2)*1000/(1.73*AP12)</f>
        <v>0</v>
      </c>
      <c r="AP41" s="1239">
        <v>0</v>
      </c>
      <c r="AQ41" s="1240">
        <v>0</v>
      </c>
      <c r="AR41" s="1248">
        <f>SQRT(AS41^2+AT41^2)*1000/(1.73*AS12)</f>
        <v>0</v>
      </c>
      <c r="AS41" s="1239">
        <v>0</v>
      </c>
      <c r="AT41" s="1240">
        <v>0</v>
      </c>
      <c r="AU41" s="1248">
        <f>SQRT(AV41^2+AW41^2)*1000/(1.73*AV12)</f>
        <v>0</v>
      </c>
      <c r="AV41" s="1239">
        <v>0</v>
      </c>
      <c r="AW41" s="1240">
        <v>0</v>
      </c>
      <c r="AX41" s="1248">
        <f>SQRT(AY41^2+AZ41^2)*1000/(1.73*AY12)</f>
        <v>0</v>
      </c>
      <c r="AY41" s="1239">
        <v>0</v>
      </c>
      <c r="AZ41" s="1240">
        <v>0</v>
      </c>
      <c r="BA41" s="1248">
        <f>SQRT(BB41^2+BC41^2)*1000/(1.73*BB12)</f>
        <v>0</v>
      </c>
      <c r="BB41" s="1239">
        <v>0</v>
      </c>
      <c r="BC41" s="1240">
        <v>0</v>
      </c>
      <c r="BD41" s="1248">
        <f>SQRT(BE41^2+BF41^2)*1000/(1.73*BE12)</f>
        <v>0</v>
      </c>
      <c r="BE41" s="1239">
        <v>0</v>
      </c>
      <c r="BF41" s="1240">
        <v>0</v>
      </c>
      <c r="BG41" s="1248">
        <f>SQRT(BH41^2+BI41^2)*1000/(1.73*BH12)</f>
        <v>0</v>
      </c>
      <c r="BH41" s="1239">
        <v>0</v>
      </c>
      <c r="BI41" s="1240">
        <v>0</v>
      </c>
      <c r="BJ41" s="1248">
        <f>SQRT(BK41^2+BL41^2)*1000/(1.73*BK12)</f>
        <v>0</v>
      </c>
      <c r="BK41" s="1239">
        <v>0</v>
      </c>
      <c r="BL41" s="1240">
        <v>0</v>
      </c>
      <c r="BM41" s="1248">
        <f>SQRT(BN41^2+BO41^2)*1000/(1.73*BN12)</f>
        <v>0</v>
      </c>
      <c r="BN41" s="1239">
        <v>0</v>
      </c>
      <c r="BO41" s="1240">
        <v>0</v>
      </c>
      <c r="BP41" s="1248">
        <f>SQRT(BQ41^2+BR41^2)*1000/(1.73*BQ12)</f>
        <v>0</v>
      </c>
      <c r="BQ41" s="1239">
        <v>0</v>
      </c>
      <c r="BR41" s="1240">
        <v>0</v>
      </c>
      <c r="BS41" s="1248">
        <f>SQRT(BT41^2+BU41^2)*1000/(1.73*BT12)</f>
        <v>0</v>
      </c>
      <c r="BT41" s="1239">
        <v>0</v>
      </c>
      <c r="BU41" s="1240">
        <v>0</v>
      </c>
      <c r="BV41" s="1248">
        <f>SQRT(BW41^2+BX41^2)*1000/(1.73*BW12)</f>
        <v>0</v>
      </c>
      <c r="BW41" s="1239">
        <v>0</v>
      </c>
      <c r="BX41" s="1240">
        <v>0</v>
      </c>
      <c r="BY41" s="1248">
        <f>SQRT(BZ41^2+CA41^2)*1000/(1.73*BZ12)</f>
        <v>0</v>
      </c>
      <c r="BZ41" s="1239">
        <v>0</v>
      </c>
      <c r="CA41" s="1240">
        <v>0</v>
      </c>
      <c r="CB41" s="1230">
        <f t="shared" si="2"/>
        <v>0</v>
      </c>
      <c r="CC41" s="1230">
        <f t="shared" si="2"/>
        <v>0</v>
      </c>
    </row>
    <row r="42" spans="1:81" customFormat="1" ht="13.5" thickBot="1" x14ac:dyDescent="0.25">
      <c r="A42" s="1250">
        <v>16</v>
      </c>
      <c r="B42" s="1251" t="s">
        <v>183</v>
      </c>
      <c r="C42" s="1233"/>
      <c r="D42" s="1244"/>
      <c r="E42" s="1245"/>
      <c r="F42" s="1246"/>
      <c r="G42" s="1247"/>
      <c r="H42" s="1248">
        <f>SQRT(I42^2+J42^2)*1000/(1.73*I18)</f>
        <v>0</v>
      </c>
      <c r="I42" s="1239">
        <v>0</v>
      </c>
      <c r="J42" s="1240">
        <v>0</v>
      </c>
      <c r="K42" s="1248">
        <f>SQRT(L42^2+M42^2)*1000/(1.73*L18)</f>
        <v>0</v>
      </c>
      <c r="L42" s="1239">
        <v>0</v>
      </c>
      <c r="M42" s="1240">
        <v>0</v>
      </c>
      <c r="N42" s="1248">
        <f>SQRT(O42^2+P42^2)*1000/(1.73*O18)</f>
        <v>0</v>
      </c>
      <c r="O42" s="1239">
        <v>0</v>
      </c>
      <c r="P42" s="1240">
        <v>0</v>
      </c>
      <c r="Q42" s="1248">
        <f>SQRT(R42^2+S42^2)*1000/(1.73*R18)</f>
        <v>0</v>
      </c>
      <c r="R42" s="1239">
        <v>0</v>
      </c>
      <c r="S42" s="1240">
        <v>0</v>
      </c>
      <c r="T42" s="1248">
        <f>SQRT(U42^2+V42^2)*1000/(1.73*U18)</f>
        <v>0</v>
      </c>
      <c r="U42" s="1239">
        <v>0</v>
      </c>
      <c r="V42" s="1240">
        <v>0</v>
      </c>
      <c r="W42" s="1248">
        <f>SQRT(X42^2+Y42^2)*1000/(1.73*X18)</f>
        <v>0</v>
      </c>
      <c r="X42" s="1239">
        <v>0</v>
      </c>
      <c r="Y42" s="1240">
        <v>0</v>
      </c>
      <c r="Z42" s="1248">
        <f>SQRT(AA42^2+AB42^2)*1000/(1.73*AA18)</f>
        <v>0</v>
      </c>
      <c r="AA42" s="1239">
        <v>0</v>
      </c>
      <c r="AB42" s="1240">
        <v>0</v>
      </c>
      <c r="AC42" s="1248">
        <f>SQRT(AD42^2+AE42^2)*1000/(1.73*AD18)</f>
        <v>0</v>
      </c>
      <c r="AD42" s="1239">
        <v>0</v>
      </c>
      <c r="AE42" s="1240">
        <v>0</v>
      </c>
      <c r="AF42" s="1248">
        <f>SQRT(AG42^2+AH42^2)*1000/(1.73*AG18)</f>
        <v>0</v>
      </c>
      <c r="AG42" s="1239">
        <v>0</v>
      </c>
      <c r="AH42" s="1240">
        <v>0</v>
      </c>
      <c r="AI42" s="1248">
        <f>SQRT(AJ42^2+AK42^2)*1000/(1.73*AJ18)</f>
        <v>0</v>
      </c>
      <c r="AJ42" s="1239">
        <v>0</v>
      </c>
      <c r="AK42" s="1240">
        <v>0</v>
      </c>
      <c r="AL42" s="1248">
        <f>SQRT(AM42^2+AN42^2)*1000/(1.73*AM18)</f>
        <v>0</v>
      </c>
      <c r="AM42" s="1239">
        <v>0</v>
      </c>
      <c r="AN42" s="1240">
        <v>0</v>
      </c>
      <c r="AO42" s="1248">
        <f>SQRT(AP42^2+AQ42^2)*1000/(1.73*AP18)</f>
        <v>0</v>
      </c>
      <c r="AP42" s="1239">
        <v>0</v>
      </c>
      <c r="AQ42" s="1240">
        <v>0</v>
      </c>
      <c r="AR42" s="1248">
        <f>SQRT(AS42^2+AT42^2)*1000/(1.73*AS18)</f>
        <v>0</v>
      </c>
      <c r="AS42" s="1239">
        <v>0</v>
      </c>
      <c r="AT42" s="1240">
        <v>0</v>
      </c>
      <c r="AU42" s="1248">
        <f>SQRT(AV42^2+AW42^2)*1000/(1.73*AV18)</f>
        <v>0</v>
      </c>
      <c r="AV42" s="1239">
        <v>0</v>
      </c>
      <c r="AW42" s="1240">
        <v>0</v>
      </c>
      <c r="AX42" s="1248">
        <f>SQRT(AY42^2+AZ42^2)*1000/(1.73*AY18)</f>
        <v>0</v>
      </c>
      <c r="AY42" s="1239">
        <v>0</v>
      </c>
      <c r="AZ42" s="1240">
        <v>0</v>
      </c>
      <c r="BA42" s="1248">
        <f>SQRT(BB42^2+BC42^2)*1000/(1.73*BB18)</f>
        <v>0</v>
      </c>
      <c r="BB42" s="1239">
        <v>0</v>
      </c>
      <c r="BC42" s="1240">
        <v>0</v>
      </c>
      <c r="BD42" s="1248">
        <f>SQRT(BE42^2+BF42^2)*1000/(1.73*BE18)</f>
        <v>0</v>
      </c>
      <c r="BE42" s="1239">
        <v>0</v>
      </c>
      <c r="BF42" s="1240">
        <v>0</v>
      </c>
      <c r="BG42" s="1248">
        <f>SQRT(BH42^2+BI42^2)*1000/(1.73*BH18)</f>
        <v>0</v>
      </c>
      <c r="BH42" s="1239">
        <v>0</v>
      </c>
      <c r="BI42" s="1240">
        <v>0</v>
      </c>
      <c r="BJ42" s="1248">
        <f>SQRT(BK42^2+BL42^2)*1000/(1.73*BK18)</f>
        <v>0</v>
      </c>
      <c r="BK42" s="1239">
        <v>0</v>
      </c>
      <c r="BL42" s="1240">
        <v>0</v>
      </c>
      <c r="BM42" s="1248">
        <f>SQRT(BN42^2+BO42^2)*1000/(1.73*BN18)</f>
        <v>0</v>
      </c>
      <c r="BN42" s="1239">
        <v>0</v>
      </c>
      <c r="BO42" s="1240">
        <v>0</v>
      </c>
      <c r="BP42" s="1248">
        <f>SQRT(BQ42^2+BR42^2)*1000/(1.73*BQ18)</f>
        <v>0</v>
      </c>
      <c r="BQ42" s="1239">
        <v>0</v>
      </c>
      <c r="BR42" s="1240">
        <v>0</v>
      </c>
      <c r="BS42" s="1248">
        <f>SQRT(BT42^2+BU42^2)*1000/(1.73*BT18)</f>
        <v>0</v>
      </c>
      <c r="BT42" s="1239">
        <v>0</v>
      </c>
      <c r="BU42" s="1240">
        <v>0</v>
      </c>
      <c r="BV42" s="1248">
        <f>SQRT(BW42^2+BX42^2)*1000/(1.73*BW18)</f>
        <v>0</v>
      </c>
      <c r="BW42" s="1239">
        <v>0</v>
      </c>
      <c r="BX42" s="1240">
        <v>0</v>
      </c>
      <c r="BY42" s="1248">
        <f>SQRT(BZ42^2+CA42^2)*1000/(1.73*BZ18)</f>
        <v>0</v>
      </c>
      <c r="BZ42" s="1239">
        <v>0</v>
      </c>
      <c r="CA42" s="1240">
        <v>0</v>
      </c>
      <c r="CB42" s="1230">
        <f t="shared" si="2"/>
        <v>0</v>
      </c>
      <c r="CC42" s="1230">
        <f t="shared" si="2"/>
        <v>0</v>
      </c>
    </row>
    <row r="43" spans="1:81" customFormat="1" x14ac:dyDescent="0.2">
      <c r="A43" s="1256" t="s">
        <v>102</v>
      </c>
      <c r="B43" s="1257"/>
      <c r="C43" s="1258"/>
      <c r="D43" s="1259"/>
      <c r="E43" s="1260"/>
      <c r="F43" s="1259"/>
      <c r="G43" s="1261"/>
      <c r="H43" s="1262">
        <f t="shared" ref="H43:BS44" si="3">H27+H29+H31+H33+H35+H37+H39+H41</f>
        <v>343.74354634249505</v>
      </c>
      <c r="I43" s="1263">
        <f t="shared" si="3"/>
        <v>6.1749999999999998</v>
      </c>
      <c r="J43" s="1264">
        <f t="shared" si="3"/>
        <v>0.14500000000000002</v>
      </c>
      <c r="K43" s="1262">
        <f t="shared" si="3"/>
        <v>324.11896430115604</v>
      </c>
      <c r="L43" s="1263">
        <f t="shared" si="3"/>
        <v>5.82</v>
      </c>
      <c r="M43" s="1264">
        <f t="shared" si="3"/>
        <v>0.21199999999999999</v>
      </c>
      <c r="N43" s="1262">
        <f t="shared" si="3"/>
        <v>313.38495106356828</v>
      </c>
      <c r="O43" s="1263">
        <f t="shared" si="3"/>
        <v>5.6290000000000004</v>
      </c>
      <c r="P43" s="1264">
        <f t="shared" si="3"/>
        <v>0.217</v>
      </c>
      <c r="Q43" s="1262">
        <f t="shared" si="3"/>
        <v>309.12735679651547</v>
      </c>
      <c r="R43" s="1263">
        <f t="shared" si="3"/>
        <v>5.5520000000000005</v>
      </c>
      <c r="S43" s="1264">
        <f t="shared" si="3"/>
        <v>0.15400000000000003</v>
      </c>
      <c r="T43" s="1262">
        <f t="shared" si="3"/>
        <v>308.68614503406673</v>
      </c>
      <c r="U43" s="1263">
        <f t="shared" si="3"/>
        <v>5.5450000000000008</v>
      </c>
      <c r="V43" s="1264">
        <f t="shared" si="3"/>
        <v>9.8999999999999991E-2</v>
      </c>
      <c r="W43" s="1262">
        <f t="shared" si="3"/>
        <v>321.90177001196662</v>
      </c>
      <c r="X43" s="1265">
        <f t="shared" si="3"/>
        <v>5.7839999999999989</v>
      </c>
      <c r="Y43" s="1266">
        <f t="shared" si="3"/>
        <v>0.13900000000000001</v>
      </c>
      <c r="Z43" s="1262">
        <f t="shared" si="3"/>
        <v>367.09331688225194</v>
      </c>
      <c r="AA43" s="1263">
        <f t="shared" si="3"/>
        <v>6.5910000000000002</v>
      </c>
      <c r="AB43" s="1264">
        <f t="shared" si="3"/>
        <v>0.19900000000000001</v>
      </c>
      <c r="AC43" s="1262">
        <f t="shared" si="3"/>
        <v>421.87773779049752</v>
      </c>
      <c r="AD43" s="1263">
        <f t="shared" si="3"/>
        <v>7.5760000000000005</v>
      </c>
      <c r="AE43" s="1264">
        <f t="shared" si="3"/>
        <v>0.22800000000000001</v>
      </c>
      <c r="AF43" s="1262">
        <f t="shared" si="3"/>
        <v>450.68731997802365</v>
      </c>
      <c r="AG43" s="1263">
        <f t="shared" si="3"/>
        <v>8.0889999999999986</v>
      </c>
      <c r="AH43" s="1264">
        <f t="shared" si="3"/>
        <v>0.36</v>
      </c>
      <c r="AI43" s="1262">
        <f t="shared" si="3"/>
        <v>466.14367788695023</v>
      </c>
      <c r="AJ43" s="1263">
        <f t="shared" si="3"/>
        <v>8.359</v>
      </c>
      <c r="AK43" s="1264">
        <f t="shared" si="3"/>
        <v>0.52300000000000002</v>
      </c>
      <c r="AL43" s="1262">
        <f t="shared" si="3"/>
        <v>472.89785466830551</v>
      </c>
      <c r="AM43" s="1263">
        <f t="shared" si="3"/>
        <v>8.4809999999999999</v>
      </c>
      <c r="AN43" s="1264">
        <f t="shared" si="3"/>
        <v>0.51400000000000001</v>
      </c>
      <c r="AO43" s="1262">
        <f t="shared" si="3"/>
        <v>471.63581856636279</v>
      </c>
      <c r="AP43" s="1263">
        <f t="shared" si="3"/>
        <v>8.4580000000000002</v>
      </c>
      <c r="AQ43" s="1264">
        <f t="shared" si="3"/>
        <v>0.57000000000000006</v>
      </c>
      <c r="AR43" s="1262">
        <f t="shared" si="3"/>
        <v>468.89834576162394</v>
      </c>
      <c r="AS43" s="1263">
        <f t="shared" si="3"/>
        <v>8.4139999999999997</v>
      </c>
      <c r="AT43" s="1264">
        <f t="shared" si="3"/>
        <v>0.44700000000000001</v>
      </c>
      <c r="AU43" s="1262">
        <f t="shared" si="3"/>
        <v>469.56257041002073</v>
      </c>
      <c r="AV43" s="1263">
        <f t="shared" si="3"/>
        <v>8.4209999999999994</v>
      </c>
      <c r="AW43" s="1264">
        <f t="shared" si="3"/>
        <v>0.56600000000000006</v>
      </c>
      <c r="AX43" s="1262">
        <f t="shared" si="3"/>
        <v>477.16939306591559</v>
      </c>
      <c r="AY43" s="1263">
        <f t="shared" si="3"/>
        <v>8.548</v>
      </c>
      <c r="AZ43" s="1264">
        <f t="shared" si="3"/>
        <v>0.63200000000000001</v>
      </c>
      <c r="BA43" s="1262">
        <f t="shared" si="3"/>
        <v>484.37848369909022</v>
      </c>
      <c r="BB43" s="1263">
        <f t="shared" si="3"/>
        <v>8.6859999999999999</v>
      </c>
      <c r="BC43" s="1264">
        <f t="shared" si="3"/>
        <v>0.47199999999999998</v>
      </c>
      <c r="BD43" s="1262">
        <f t="shared" si="3"/>
        <v>489.83773803982086</v>
      </c>
      <c r="BE43" s="1263">
        <f t="shared" si="3"/>
        <v>8.7889999999999997</v>
      </c>
      <c r="BF43" s="1264">
        <f t="shared" si="3"/>
        <v>0.39100000000000001</v>
      </c>
      <c r="BG43" s="1262">
        <f t="shared" si="3"/>
        <v>485.76312129746918</v>
      </c>
      <c r="BH43" s="1263">
        <f t="shared" si="3"/>
        <v>8.7210000000000001</v>
      </c>
      <c r="BI43" s="1264">
        <f t="shared" si="3"/>
        <v>0.39100000000000001</v>
      </c>
      <c r="BJ43" s="1262">
        <f t="shared" si="3"/>
        <v>478.04876690618471</v>
      </c>
      <c r="BK43" s="1263">
        <f t="shared" si="3"/>
        <v>8.5869999999999997</v>
      </c>
      <c r="BL43" s="1264">
        <f t="shared" si="3"/>
        <v>0.25800000000000001</v>
      </c>
      <c r="BM43" s="1262">
        <f t="shared" si="3"/>
        <v>472.38017619823876</v>
      </c>
      <c r="BN43" s="1263">
        <f t="shared" si="3"/>
        <v>8.4849999999999994</v>
      </c>
      <c r="BO43" s="1264">
        <f t="shared" si="3"/>
        <v>0.248</v>
      </c>
      <c r="BP43" s="1262">
        <f t="shared" si="3"/>
        <v>457.41416297592099</v>
      </c>
      <c r="BQ43" s="1263">
        <f t="shared" si="3"/>
        <v>8.2160000000000011</v>
      </c>
      <c r="BR43" s="1264">
        <f t="shared" si="3"/>
        <v>0.23499999999999999</v>
      </c>
      <c r="BS43" s="1262">
        <f t="shared" si="3"/>
        <v>435.25946124275481</v>
      </c>
      <c r="BT43" s="1263">
        <f t="shared" ref="BT43:CA44" si="4">BT27+BT29+BT31+BT33+BT35+BT37+BT39+BT41</f>
        <v>7.82</v>
      </c>
      <c r="BU43" s="1264">
        <f t="shared" si="4"/>
        <v>0.25700000000000001</v>
      </c>
      <c r="BV43" s="1262">
        <f t="shared" si="4"/>
        <v>401.94385509312366</v>
      </c>
      <c r="BW43" s="1263">
        <f t="shared" si="4"/>
        <v>7.2230000000000008</v>
      </c>
      <c r="BX43" s="1264">
        <f t="shared" si="4"/>
        <v>0.19399999999999998</v>
      </c>
      <c r="BY43" s="1262">
        <f t="shared" si="4"/>
        <v>367.15931182856673</v>
      </c>
      <c r="BZ43" s="1263">
        <f t="shared" si="4"/>
        <v>6.5979999999999999</v>
      </c>
      <c r="CA43" s="1264">
        <f t="shared" si="4"/>
        <v>0.13999999999999999</v>
      </c>
      <c r="CB43" s="1230">
        <f t="shared" si="2"/>
        <v>180.56700000000001</v>
      </c>
      <c r="CC43" s="1230">
        <f t="shared" si="2"/>
        <v>7.5910000000000002</v>
      </c>
    </row>
    <row r="44" spans="1:81" customFormat="1" ht="13.5" thickBot="1" x14ac:dyDescent="0.25">
      <c r="A44" s="1267" t="s">
        <v>103</v>
      </c>
      <c r="B44" s="1268"/>
      <c r="C44" s="1269"/>
      <c r="D44" s="1270"/>
      <c r="E44" s="1271"/>
      <c r="F44" s="1272"/>
      <c r="G44" s="1273"/>
      <c r="H44" s="1274">
        <f t="shared" si="3"/>
        <v>211.62233387287014</v>
      </c>
      <c r="I44" s="1275">
        <f t="shared" si="3"/>
        <v>3.7769999999999992</v>
      </c>
      <c r="J44" s="1276">
        <f t="shared" si="3"/>
        <v>0.14100000000000001</v>
      </c>
      <c r="K44" s="1274">
        <f t="shared" si="3"/>
        <v>200.4734353371779</v>
      </c>
      <c r="L44" s="1275">
        <f t="shared" si="3"/>
        <v>3.5750000000000002</v>
      </c>
      <c r="M44" s="1276">
        <f t="shared" si="3"/>
        <v>0.15200000000000002</v>
      </c>
      <c r="N44" s="1274">
        <f t="shared" si="3"/>
        <v>195.72631655748427</v>
      </c>
      <c r="O44" s="1275">
        <f t="shared" si="3"/>
        <v>3.4899999999999998</v>
      </c>
      <c r="P44" s="1276">
        <f t="shared" si="3"/>
        <v>0.127</v>
      </c>
      <c r="Q44" s="1274">
        <f t="shared" si="3"/>
        <v>192.5846696711086</v>
      </c>
      <c r="R44" s="1275">
        <f t="shared" si="3"/>
        <v>3.4320000000000004</v>
      </c>
      <c r="S44" s="1276">
        <f t="shared" si="3"/>
        <v>0.15600000000000003</v>
      </c>
      <c r="T44" s="1274">
        <f t="shared" si="3"/>
        <v>192.79842693157502</v>
      </c>
      <c r="U44" s="1275">
        <f t="shared" si="3"/>
        <v>3.4380000000000002</v>
      </c>
      <c r="V44" s="1276">
        <f t="shared" si="3"/>
        <v>0.13500000000000001</v>
      </c>
      <c r="W44" s="1274">
        <f t="shared" si="3"/>
        <v>199.40475709929439</v>
      </c>
      <c r="X44" s="1275">
        <f t="shared" si="3"/>
        <v>3.56</v>
      </c>
      <c r="Y44" s="1276">
        <f t="shared" si="3"/>
        <v>0.11599999999999999</v>
      </c>
      <c r="Z44" s="1274">
        <f t="shared" si="3"/>
        <v>223.66623222355327</v>
      </c>
      <c r="AA44" s="1275">
        <f t="shared" si="3"/>
        <v>3.9970000000000003</v>
      </c>
      <c r="AB44" s="1276">
        <f t="shared" si="3"/>
        <v>0.105</v>
      </c>
      <c r="AC44" s="1274">
        <f t="shared" si="3"/>
        <v>254.20466503137735</v>
      </c>
      <c r="AD44" s="1275">
        <f t="shared" si="3"/>
        <v>4.55</v>
      </c>
      <c r="AE44" s="1276">
        <f t="shared" si="3"/>
        <v>0.13700000000000001</v>
      </c>
      <c r="AF44" s="1274">
        <f t="shared" si="3"/>
        <v>266.8945730967186</v>
      </c>
      <c r="AG44" s="1275">
        <f t="shared" si="3"/>
        <v>4.7750000000000004</v>
      </c>
      <c r="AH44" s="1276">
        <f t="shared" si="3"/>
        <v>0.16499999999999998</v>
      </c>
      <c r="AI44" s="1274">
        <f t="shared" si="3"/>
        <v>268.87857653923089</v>
      </c>
      <c r="AJ44" s="1275">
        <f t="shared" si="3"/>
        <v>4.8</v>
      </c>
      <c r="AK44" s="1276">
        <f t="shared" si="3"/>
        <v>0.22499999999999998</v>
      </c>
      <c r="AL44" s="1274">
        <f t="shared" si="3"/>
        <v>269.76990170263781</v>
      </c>
      <c r="AM44" s="1275">
        <f t="shared" si="3"/>
        <v>4.8140000000000001</v>
      </c>
      <c r="AN44" s="1276">
        <f t="shared" si="3"/>
        <v>0.21800000000000003</v>
      </c>
      <c r="AO44" s="1274">
        <f t="shared" si="3"/>
        <v>272.12580614248554</v>
      </c>
      <c r="AP44" s="1275">
        <f t="shared" si="3"/>
        <v>4.8630000000000004</v>
      </c>
      <c r="AQ44" s="1276">
        <f t="shared" si="3"/>
        <v>0.21200000000000002</v>
      </c>
      <c r="AR44" s="1274">
        <f t="shared" si="3"/>
        <v>270.65821794409106</v>
      </c>
      <c r="AS44" s="1275">
        <f t="shared" si="3"/>
        <v>4.8449999999999998</v>
      </c>
      <c r="AT44" s="1276">
        <f t="shared" si="3"/>
        <v>0.187</v>
      </c>
      <c r="AU44" s="1274">
        <f t="shared" si="3"/>
        <v>271.30883211237494</v>
      </c>
      <c r="AV44" s="1275">
        <f t="shared" si="3"/>
        <v>4.8470000000000004</v>
      </c>
      <c r="AW44" s="1276">
        <f t="shared" si="3"/>
        <v>0.224</v>
      </c>
      <c r="AX44" s="1274">
        <f t="shared" si="3"/>
        <v>270.30584477108778</v>
      </c>
      <c r="AY44" s="1275">
        <f t="shared" si="3"/>
        <v>4.8230000000000004</v>
      </c>
      <c r="AZ44" s="1276">
        <f t="shared" si="3"/>
        <v>0.29899999999999999</v>
      </c>
      <c r="BA44" s="1274">
        <f t="shared" si="3"/>
        <v>275.44574526082056</v>
      </c>
      <c r="BB44" s="1275">
        <f t="shared" si="3"/>
        <v>4.9260000000000002</v>
      </c>
      <c r="BC44" s="1276">
        <f t="shared" si="3"/>
        <v>0.19400000000000001</v>
      </c>
      <c r="BD44" s="1274">
        <f t="shared" si="3"/>
        <v>282.46015097464021</v>
      </c>
      <c r="BE44" s="1275">
        <f t="shared" si="3"/>
        <v>5.0549999999999997</v>
      </c>
      <c r="BF44" s="1276">
        <f t="shared" si="3"/>
        <v>0.189</v>
      </c>
      <c r="BG44" s="1274">
        <f t="shared" si="3"/>
        <v>283.39833830137894</v>
      </c>
      <c r="BH44" s="1275">
        <f t="shared" si="3"/>
        <v>5.0719999999999992</v>
      </c>
      <c r="BI44" s="1276">
        <f t="shared" si="3"/>
        <v>0.15299999999999997</v>
      </c>
      <c r="BJ44" s="1274">
        <f t="shared" si="3"/>
        <v>286.35820773501013</v>
      </c>
      <c r="BK44" s="1275">
        <f t="shared" si="3"/>
        <v>5.1260000000000003</v>
      </c>
      <c r="BL44" s="1276">
        <f t="shared" si="3"/>
        <v>0.126</v>
      </c>
      <c r="BM44" s="1274">
        <f t="shared" si="3"/>
        <v>289.32343676623952</v>
      </c>
      <c r="BN44" s="1275">
        <f t="shared" si="3"/>
        <v>5.1809999999999992</v>
      </c>
      <c r="BO44" s="1276">
        <f t="shared" si="3"/>
        <v>0.128</v>
      </c>
      <c r="BP44" s="1274">
        <f t="shared" si="3"/>
        <v>286.89202610796053</v>
      </c>
      <c r="BQ44" s="1275">
        <f t="shared" si="3"/>
        <v>5.1370000000000005</v>
      </c>
      <c r="BR44" s="1276">
        <f t="shared" si="3"/>
        <v>0.16600000000000001</v>
      </c>
      <c r="BS44" s="1274">
        <f t="shared" si="3"/>
        <v>273.53577953162494</v>
      </c>
      <c r="BT44" s="1275">
        <f t="shared" si="4"/>
        <v>4.8959999999999999</v>
      </c>
      <c r="BU44" s="1276">
        <f t="shared" si="4"/>
        <v>0.17200000000000001</v>
      </c>
      <c r="BV44" s="1274">
        <f t="shared" si="4"/>
        <v>258.61728052493299</v>
      </c>
      <c r="BW44" s="1275">
        <f t="shared" si="4"/>
        <v>4.625</v>
      </c>
      <c r="BX44" s="1276">
        <f t="shared" si="4"/>
        <v>0.15899999999999997</v>
      </c>
      <c r="BY44" s="1274">
        <f t="shared" si="4"/>
        <v>238.43432436387269</v>
      </c>
      <c r="BZ44" s="1275">
        <f t="shared" si="4"/>
        <v>4.26</v>
      </c>
      <c r="CA44" s="1276">
        <f t="shared" si="4"/>
        <v>0.182</v>
      </c>
      <c r="CB44" s="1230">
        <f t="shared" si="2"/>
        <v>107.86400000000002</v>
      </c>
      <c r="CC44" s="1230">
        <f t="shared" si="2"/>
        <v>4.0680000000000005</v>
      </c>
    </row>
    <row r="45" spans="1:81" customFormat="1" ht="13.5" thickBot="1" x14ac:dyDescent="0.25">
      <c r="A45" s="1277" t="s">
        <v>104</v>
      </c>
      <c r="B45" s="1166"/>
      <c r="C45" s="1278"/>
      <c r="D45" s="1279"/>
      <c r="E45" s="1280"/>
      <c r="F45" s="1279"/>
      <c r="G45" s="1281"/>
      <c r="H45" s="1282">
        <f t="shared" ref="H45:BS45" si="5">H43+H44</f>
        <v>555.36588021536522</v>
      </c>
      <c r="I45" s="1283">
        <f t="shared" si="5"/>
        <v>9.9519999999999982</v>
      </c>
      <c r="J45" s="1284">
        <f t="shared" si="5"/>
        <v>0.28600000000000003</v>
      </c>
      <c r="K45" s="1282">
        <f t="shared" si="5"/>
        <v>524.59239963833397</v>
      </c>
      <c r="L45" s="1283">
        <f t="shared" si="5"/>
        <v>9.3949999999999996</v>
      </c>
      <c r="M45" s="1284">
        <f t="shared" si="5"/>
        <v>0.36399999999999999</v>
      </c>
      <c r="N45" s="1282">
        <f t="shared" si="5"/>
        <v>509.11126762105255</v>
      </c>
      <c r="O45" s="1283">
        <f t="shared" si="5"/>
        <v>9.1189999999999998</v>
      </c>
      <c r="P45" s="1284">
        <f t="shared" si="5"/>
        <v>0.34399999999999997</v>
      </c>
      <c r="Q45" s="1282">
        <f t="shared" si="5"/>
        <v>501.71202646762407</v>
      </c>
      <c r="R45" s="1283">
        <f t="shared" si="5"/>
        <v>8.9840000000000018</v>
      </c>
      <c r="S45" s="1284">
        <f t="shared" si="5"/>
        <v>0.31000000000000005</v>
      </c>
      <c r="T45" s="1282">
        <f t="shared" si="5"/>
        <v>501.48457196564175</v>
      </c>
      <c r="U45" s="1283">
        <f t="shared" si="5"/>
        <v>8.9830000000000005</v>
      </c>
      <c r="V45" s="1284">
        <f t="shared" si="5"/>
        <v>0.23399999999999999</v>
      </c>
      <c r="W45" s="1282">
        <f t="shared" si="5"/>
        <v>521.30652711126095</v>
      </c>
      <c r="X45" s="1283">
        <f t="shared" si="5"/>
        <v>9.3439999999999994</v>
      </c>
      <c r="Y45" s="1284">
        <f t="shared" si="5"/>
        <v>0.255</v>
      </c>
      <c r="Z45" s="1282">
        <f t="shared" si="5"/>
        <v>590.75954910580526</v>
      </c>
      <c r="AA45" s="1283">
        <f t="shared" si="5"/>
        <v>10.588000000000001</v>
      </c>
      <c r="AB45" s="1284">
        <f t="shared" si="5"/>
        <v>0.30399999999999999</v>
      </c>
      <c r="AC45" s="1282">
        <f t="shared" si="5"/>
        <v>676.08240282187489</v>
      </c>
      <c r="AD45" s="1283">
        <f t="shared" si="5"/>
        <v>12.126000000000001</v>
      </c>
      <c r="AE45" s="1284">
        <f t="shared" si="5"/>
        <v>0.36499999999999999</v>
      </c>
      <c r="AF45" s="1282">
        <f t="shared" si="5"/>
        <v>717.58189307474231</v>
      </c>
      <c r="AG45" s="1283">
        <f t="shared" si="5"/>
        <v>12.863999999999999</v>
      </c>
      <c r="AH45" s="1284">
        <f t="shared" si="5"/>
        <v>0.52499999999999991</v>
      </c>
      <c r="AI45" s="1282">
        <f t="shared" si="5"/>
        <v>735.02225442618112</v>
      </c>
      <c r="AJ45" s="1283">
        <f t="shared" si="5"/>
        <v>13.158999999999999</v>
      </c>
      <c r="AK45" s="1284">
        <f t="shared" si="5"/>
        <v>0.748</v>
      </c>
      <c r="AL45" s="1282">
        <f t="shared" si="5"/>
        <v>742.66775637094338</v>
      </c>
      <c r="AM45" s="1283">
        <f t="shared" si="5"/>
        <v>13.295</v>
      </c>
      <c r="AN45" s="1284">
        <f t="shared" si="5"/>
        <v>0.73199999999999998</v>
      </c>
      <c r="AO45" s="1282">
        <f t="shared" si="5"/>
        <v>743.76162470884833</v>
      </c>
      <c r="AP45" s="1283">
        <f t="shared" si="5"/>
        <v>13.321000000000002</v>
      </c>
      <c r="AQ45" s="1284">
        <f t="shared" si="5"/>
        <v>0.78200000000000003</v>
      </c>
      <c r="AR45" s="1282">
        <f t="shared" si="5"/>
        <v>739.55656370571501</v>
      </c>
      <c r="AS45" s="1283">
        <f t="shared" si="5"/>
        <v>13.259</v>
      </c>
      <c r="AT45" s="1284">
        <f t="shared" si="5"/>
        <v>0.63400000000000001</v>
      </c>
      <c r="AU45" s="1282">
        <f t="shared" si="5"/>
        <v>740.87140252239567</v>
      </c>
      <c r="AV45" s="1283">
        <f t="shared" si="5"/>
        <v>13.268000000000001</v>
      </c>
      <c r="AW45" s="1284">
        <f t="shared" si="5"/>
        <v>0.79</v>
      </c>
      <c r="AX45" s="1282">
        <f t="shared" si="5"/>
        <v>747.47523783700331</v>
      </c>
      <c r="AY45" s="1283">
        <f t="shared" si="5"/>
        <v>13.371</v>
      </c>
      <c r="AZ45" s="1284">
        <f t="shared" si="5"/>
        <v>0.93100000000000005</v>
      </c>
      <c r="BA45" s="1282">
        <f t="shared" si="5"/>
        <v>759.82422895991078</v>
      </c>
      <c r="BB45" s="1283">
        <f t="shared" si="5"/>
        <v>13.612</v>
      </c>
      <c r="BC45" s="1284">
        <f t="shared" si="5"/>
        <v>0.66599999999999993</v>
      </c>
      <c r="BD45" s="1282">
        <f t="shared" si="5"/>
        <v>772.29788901446113</v>
      </c>
      <c r="BE45" s="1283">
        <f t="shared" si="5"/>
        <v>13.843999999999999</v>
      </c>
      <c r="BF45" s="1284">
        <f t="shared" si="5"/>
        <v>0.58000000000000007</v>
      </c>
      <c r="BG45" s="1282">
        <f t="shared" si="5"/>
        <v>769.16145959884807</v>
      </c>
      <c r="BH45" s="1283">
        <f t="shared" si="5"/>
        <v>13.792999999999999</v>
      </c>
      <c r="BI45" s="1284">
        <f t="shared" si="5"/>
        <v>0.54400000000000004</v>
      </c>
      <c r="BJ45" s="1282">
        <f t="shared" si="5"/>
        <v>764.40697464119489</v>
      </c>
      <c r="BK45" s="1283">
        <f t="shared" si="5"/>
        <v>13.713000000000001</v>
      </c>
      <c r="BL45" s="1284">
        <f t="shared" si="5"/>
        <v>0.38400000000000001</v>
      </c>
      <c r="BM45" s="1282">
        <f t="shared" si="5"/>
        <v>761.70361296447822</v>
      </c>
      <c r="BN45" s="1283">
        <f t="shared" si="5"/>
        <v>13.665999999999999</v>
      </c>
      <c r="BO45" s="1284">
        <f t="shared" si="5"/>
        <v>0.376</v>
      </c>
      <c r="BP45" s="1282">
        <f t="shared" si="5"/>
        <v>744.30618908388146</v>
      </c>
      <c r="BQ45" s="1283">
        <f t="shared" si="5"/>
        <v>13.353000000000002</v>
      </c>
      <c r="BR45" s="1284">
        <f t="shared" si="5"/>
        <v>0.40100000000000002</v>
      </c>
      <c r="BS45" s="1282">
        <f t="shared" si="5"/>
        <v>708.79524077437975</v>
      </c>
      <c r="BT45" s="1283">
        <f t="shared" ref="BT45:CA45" si="6">BT43+BT44</f>
        <v>12.716000000000001</v>
      </c>
      <c r="BU45" s="1284">
        <f t="shared" si="6"/>
        <v>0.42900000000000005</v>
      </c>
      <c r="BV45" s="1282">
        <f t="shared" si="6"/>
        <v>660.5611356180566</v>
      </c>
      <c r="BW45" s="1283">
        <f t="shared" si="6"/>
        <v>11.848000000000001</v>
      </c>
      <c r="BX45" s="1284">
        <f t="shared" si="6"/>
        <v>0.35299999999999998</v>
      </c>
      <c r="BY45" s="1282">
        <f t="shared" si="6"/>
        <v>605.59363619243936</v>
      </c>
      <c r="BZ45" s="1283">
        <f t="shared" si="6"/>
        <v>10.858000000000001</v>
      </c>
      <c r="CA45" s="1284">
        <f t="shared" si="6"/>
        <v>0.32199999999999995</v>
      </c>
      <c r="CB45" s="1230">
        <f t="shared" si="2"/>
        <v>288.43100000000004</v>
      </c>
      <c r="CC45" s="1230">
        <f t="shared" si="2"/>
        <v>11.658999999999999</v>
      </c>
    </row>
    <row r="46" spans="1:81" customFormat="1" x14ac:dyDescent="0.2">
      <c r="A46" s="1285"/>
      <c r="B46" s="1151"/>
      <c r="C46" s="1286"/>
      <c r="D46" s="1287"/>
      <c r="E46" s="1288"/>
      <c r="F46" s="1287"/>
      <c r="G46" s="1288"/>
      <c r="H46" s="1289"/>
      <c r="I46" s="1287"/>
      <c r="J46" s="1287"/>
      <c r="K46" s="1289"/>
      <c r="L46" s="1287"/>
      <c r="M46" s="1287"/>
      <c r="N46" s="1289"/>
      <c r="O46" s="1287"/>
      <c r="P46" s="1287"/>
      <c r="Q46" s="1289"/>
      <c r="R46" s="1287"/>
      <c r="S46" s="1287"/>
      <c r="T46" s="1289"/>
      <c r="U46" s="1287"/>
      <c r="V46" s="1287"/>
      <c r="W46" s="1289"/>
      <c r="X46" s="1287"/>
      <c r="Y46" s="1287"/>
      <c r="Z46" s="1289"/>
      <c r="AA46" s="1287"/>
      <c r="AB46" s="1287"/>
      <c r="AC46" s="1289"/>
      <c r="AD46" s="1287"/>
      <c r="AE46" s="1287"/>
      <c r="AF46" s="1289"/>
      <c r="AG46" s="1287"/>
      <c r="AH46" s="1287"/>
      <c r="AI46" s="1289"/>
      <c r="AJ46" s="1287"/>
      <c r="AK46" s="1287"/>
      <c r="AL46" s="1289"/>
      <c r="AM46" s="1287"/>
      <c r="AN46" s="1287"/>
      <c r="AO46" s="1289"/>
      <c r="AP46" s="1287"/>
      <c r="AQ46" s="1287"/>
      <c r="AR46" s="1289"/>
      <c r="AS46" s="1287"/>
      <c r="AT46" s="1287"/>
      <c r="AU46" s="1289"/>
      <c r="AV46" s="1287"/>
      <c r="AW46" s="1287"/>
      <c r="AX46" s="1289"/>
      <c r="AY46" s="1287"/>
      <c r="AZ46" s="1287"/>
      <c r="BA46" s="1289"/>
      <c r="BB46" s="1287"/>
      <c r="BC46" s="1287"/>
      <c r="BD46" s="1289"/>
      <c r="BE46" s="1287"/>
      <c r="BF46" s="1287"/>
      <c r="BG46" s="1289"/>
      <c r="BH46" s="1287"/>
      <c r="BI46" s="1287"/>
      <c r="BJ46" s="1289"/>
      <c r="BK46" s="1287"/>
      <c r="BL46" s="1287"/>
      <c r="BM46" s="1289"/>
      <c r="BN46" s="1287"/>
      <c r="BO46" s="1287"/>
      <c r="BP46" s="1289"/>
      <c r="BQ46" s="1287"/>
      <c r="BR46" s="1287"/>
      <c r="BS46" s="1289"/>
      <c r="BT46" s="1287"/>
      <c r="BU46" s="1287"/>
      <c r="BV46" s="1289"/>
      <c r="BW46" s="1287"/>
      <c r="BX46" s="1287"/>
      <c r="BY46" s="1289"/>
      <c r="BZ46" s="1287"/>
      <c r="CA46" s="1287"/>
      <c r="CB46" s="1072"/>
      <c r="CC46" s="1072"/>
    </row>
    <row r="47" spans="1:81" customFormat="1" ht="13.5" thickBot="1" x14ac:dyDescent="0.25">
      <c r="A47" s="1195"/>
      <c r="B47" s="1079"/>
      <c r="C47" s="1079"/>
      <c r="D47" s="1079"/>
      <c r="E47" s="1290"/>
      <c r="F47" s="1079"/>
      <c r="G47" s="1291"/>
      <c r="H47" s="1292" t="s">
        <v>19</v>
      </c>
      <c r="I47" s="1293"/>
      <c r="J47" s="1214"/>
      <c r="K47" s="1294"/>
      <c r="L47" s="1295"/>
      <c r="M47" s="1295"/>
      <c r="N47" s="1294"/>
      <c r="O47" s="1295"/>
      <c r="P47" s="1295"/>
      <c r="Q47" s="1294"/>
      <c r="R47" s="1295"/>
      <c r="S47" s="1295"/>
      <c r="T47" s="1294"/>
      <c r="U47" s="1295"/>
      <c r="V47" s="1295"/>
      <c r="W47" s="1294"/>
      <c r="X47" s="1295"/>
      <c r="Y47" s="1295"/>
      <c r="Z47" s="1294"/>
      <c r="AA47" s="1295"/>
      <c r="AB47" s="1295"/>
      <c r="AC47" s="1294"/>
      <c r="AD47" s="1295"/>
      <c r="AE47" s="1295"/>
      <c r="AF47" s="1294"/>
      <c r="AG47" s="1295"/>
      <c r="AH47" s="1295"/>
      <c r="AI47" s="1294"/>
      <c r="AJ47" s="1295"/>
      <c r="AK47" s="1295"/>
      <c r="AL47" s="1294"/>
      <c r="AM47" s="1295"/>
      <c r="AN47" s="1295"/>
      <c r="AO47" s="1294"/>
      <c r="AP47" s="1295"/>
      <c r="AQ47" s="1295"/>
      <c r="AR47" s="1294"/>
      <c r="AS47" s="1295"/>
      <c r="AT47" s="1295"/>
      <c r="AU47" s="1294"/>
      <c r="AV47" s="1295"/>
      <c r="AW47" s="1295"/>
      <c r="AX47" s="1294"/>
      <c r="AY47" s="1295"/>
      <c r="AZ47" s="1295"/>
      <c r="BA47" s="1294"/>
      <c r="BB47" s="1295"/>
      <c r="BC47" s="1295"/>
      <c r="BD47" s="1294"/>
      <c r="BE47" s="1295"/>
      <c r="BF47" s="1295"/>
      <c r="BG47" s="1294"/>
      <c r="BH47" s="1295"/>
      <c r="BI47" s="1295"/>
      <c r="BJ47" s="1294"/>
      <c r="BK47" s="1295"/>
      <c r="BL47" s="1295"/>
      <c r="BM47" s="1294"/>
      <c r="BN47" s="1295"/>
      <c r="BO47" s="1295"/>
      <c r="BP47" s="1294"/>
      <c r="BQ47" s="1295"/>
      <c r="BR47" s="1295"/>
      <c r="BS47" s="1294"/>
      <c r="BT47" s="1295"/>
      <c r="BU47" s="1295"/>
      <c r="BV47" s="1294"/>
      <c r="BW47" s="1295"/>
      <c r="BX47" s="1295"/>
      <c r="BY47" s="1294"/>
      <c r="BZ47" s="1295"/>
      <c r="CA47" s="1295"/>
      <c r="CB47" s="1072"/>
      <c r="CC47" s="1072"/>
    </row>
    <row r="48" spans="1:81" customFormat="1" x14ac:dyDescent="0.2">
      <c r="A48" s="1296"/>
      <c r="B48" s="1297" t="s">
        <v>22</v>
      </c>
      <c r="C48" s="1257"/>
      <c r="D48" s="1298" t="s">
        <v>45</v>
      </c>
      <c r="E48" s="1257"/>
      <c r="F48" s="1257"/>
      <c r="G48" s="1191"/>
      <c r="H48" s="1299">
        <v>2.3E-2</v>
      </c>
      <c r="I48" s="1300" t="s">
        <v>2</v>
      </c>
      <c r="J48" s="1301">
        <v>0.16250000000000001</v>
      </c>
      <c r="K48" s="1299">
        <v>2.3E-2</v>
      </c>
      <c r="L48" s="1300" t="s">
        <v>2</v>
      </c>
      <c r="M48" s="1301">
        <v>0.16250000000000001</v>
      </c>
      <c r="N48" s="1299">
        <v>2.3E-2</v>
      </c>
      <c r="O48" s="1300" t="s">
        <v>2</v>
      </c>
      <c r="P48" s="1301">
        <v>0.16250000000000001</v>
      </c>
      <c r="Q48" s="1299">
        <v>2.3E-2</v>
      </c>
      <c r="R48" s="1300" t="s">
        <v>2</v>
      </c>
      <c r="S48" s="1301">
        <v>0.16250000000000001</v>
      </c>
      <c r="T48" s="1299">
        <v>2.3E-2</v>
      </c>
      <c r="U48" s="1300" t="s">
        <v>2</v>
      </c>
      <c r="V48" s="1301">
        <v>0.16250000000000001</v>
      </c>
      <c r="W48" s="1299">
        <v>2.3E-2</v>
      </c>
      <c r="X48" s="1300" t="s">
        <v>2</v>
      </c>
      <c r="Y48" s="1301">
        <v>0.16250000000000001</v>
      </c>
      <c r="Z48" s="1299">
        <v>2.3E-2</v>
      </c>
      <c r="AA48" s="1300" t="s">
        <v>2</v>
      </c>
      <c r="AB48" s="1301">
        <v>0.16250000000000001</v>
      </c>
      <c r="AC48" s="1299">
        <v>2.3E-2</v>
      </c>
      <c r="AD48" s="1300" t="s">
        <v>2</v>
      </c>
      <c r="AE48" s="1301">
        <v>0.16250000000000001</v>
      </c>
      <c r="AF48" s="1299">
        <v>2.3E-2</v>
      </c>
      <c r="AG48" s="1300" t="s">
        <v>2</v>
      </c>
      <c r="AH48" s="1301">
        <v>0.16250000000000001</v>
      </c>
      <c r="AI48" s="1299">
        <v>2.3E-2</v>
      </c>
      <c r="AJ48" s="1300" t="s">
        <v>2</v>
      </c>
      <c r="AK48" s="1301">
        <v>0.16250000000000001</v>
      </c>
      <c r="AL48" s="1299">
        <v>2.3E-2</v>
      </c>
      <c r="AM48" s="1300" t="s">
        <v>2</v>
      </c>
      <c r="AN48" s="1301">
        <v>0.16250000000000001</v>
      </c>
      <c r="AO48" s="1299">
        <v>2.3E-2</v>
      </c>
      <c r="AP48" s="1300" t="s">
        <v>2</v>
      </c>
      <c r="AQ48" s="1301">
        <v>0.16250000000000001</v>
      </c>
      <c r="AR48" s="1299">
        <v>2.3E-2</v>
      </c>
      <c r="AS48" s="1300" t="s">
        <v>2</v>
      </c>
      <c r="AT48" s="1301">
        <v>0.16250000000000001</v>
      </c>
      <c r="AU48" s="1299">
        <v>2.3E-2</v>
      </c>
      <c r="AV48" s="1300" t="s">
        <v>2</v>
      </c>
      <c r="AW48" s="1301">
        <v>0.16250000000000001</v>
      </c>
      <c r="AX48" s="1299">
        <v>2.3E-2</v>
      </c>
      <c r="AY48" s="1300" t="s">
        <v>2</v>
      </c>
      <c r="AZ48" s="1301">
        <v>0.16250000000000001</v>
      </c>
      <c r="BA48" s="1299">
        <v>2.3E-2</v>
      </c>
      <c r="BB48" s="1300" t="s">
        <v>2</v>
      </c>
      <c r="BC48" s="1301">
        <v>0.16250000000000001</v>
      </c>
      <c r="BD48" s="1299">
        <v>2.3E-2</v>
      </c>
      <c r="BE48" s="1300" t="s">
        <v>2</v>
      </c>
      <c r="BF48" s="1301">
        <v>0.16250000000000001</v>
      </c>
      <c r="BG48" s="1299">
        <v>2.3E-2</v>
      </c>
      <c r="BH48" s="1300" t="s">
        <v>2</v>
      </c>
      <c r="BI48" s="1301">
        <v>0.16250000000000001</v>
      </c>
      <c r="BJ48" s="1299">
        <v>2.3E-2</v>
      </c>
      <c r="BK48" s="1300" t="s">
        <v>2</v>
      </c>
      <c r="BL48" s="1301">
        <v>0.16250000000000001</v>
      </c>
      <c r="BM48" s="1299">
        <v>2.3E-2</v>
      </c>
      <c r="BN48" s="1300" t="s">
        <v>2</v>
      </c>
      <c r="BO48" s="1301">
        <v>0.16250000000000001</v>
      </c>
      <c r="BP48" s="1299">
        <v>2.3E-2</v>
      </c>
      <c r="BQ48" s="1300" t="s">
        <v>2</v>
      </c>
      <c r="BR48" s="1301">
        <v>0.16250000000000001</v>
      </c>
      <c r="BS48" s="1299">
        <v>2.3E-2</v>
      </c>
      <c r="BT48" s="1300" t="s">
        <v>2</v>
      </c>
      <c r="BU48" s="1301">
        <v>0.16250000000000001</v>
      </c>
      <c r="BV48" s="1299">
        <v>2.3E-2</v>
      </c>
      <c r="BW48" s="1300" t="s">
        <v>2</v>
      </c>
      <c r="BX48" s="1301">
        <v>0.16250000000000001</v>
      </c>
      <c r="BY48" s="1299">
        <v>2.3E-2</v>
      </c>
      <c r="BZ48" s="1300" t="s">
        <v>2</v>
      </c>
      <c r="CA48" s="1301">
        <v>0.16250000000000001</v>
      </c>
      <c r="CB48" s="1072"/>
      <c r="CC48" s="1072"/>
    </row>
    <row r="49" spans="1:256" ht="13.5" thickBot="1" x14ac:dyDescent="0.25">
      <c r="A49" s="1302" t="s">
        <v>0</v>
      </c>
      <c r="B49" s="1303" t="s">
        <v>23</v>
      </c>
      <c r="C49" s="1304"/>
      <c r="D49" s="1304" t="s">
        <v>24</v>
      </c>
      <c r="E49" s="1305"/>
      <c r="F49" s="1306"/>
      <c r="G49" s="1134"/>
      <c r="H49" s="1307">
        <f>((I9^2+J9^2)*$G$51/1000)/$C$10^2</f>
        <v>7.5808854615999994E-3</v>
      </c>
      <c r="I49" s="1308" t="s">
        <v>2</v>
      </c>
      <c r="J49" s="1309">
        <f>((I9^2+J9^2)*$O$51)/(100*$C$10)</f>
        <v>0.15581133859999999</v>
      </c>
      <c r="K49" s="1307">
        <f>((L9^2+M9^2)*$G$51/1000)/$C$10^2</f>
        <v>6.7395119221760015E-3</v>
      </c>
      <c r="L49" s="1308" t="s">
        <v>2</v>
      </c>
      <c r="M49" s="1309">
        <f>((L9^2+M9^2)*$O$51)/(100*$C$10)</f>
        <v>0.13851843289600005</v>
      </c>
      <c r="N49" s="1307">
        <f>((O9^2+P9^2)*$G$51/1000)/$C$10^2</f>
        <v>6.3054203819200008E-3</v>
      </c>
      <c r="O49" s="1308" t="s">
        <v>2</v>
      </c>
      <c r="P49" s="1309">
        <f>((O9^2+P9^2)*$O$51)/(100*$C$10)</f>
        <v>0.12959646932000002</v>
      </c>
      <c r="Q49" s="1307">
        <f>((R9^2+S9^2)*$G$51/1000)/$C$10^2</f>
        <v>6.1297044476800013E-3</v>
      </c>
      <c r="R49" s="1308" t="s">
        <v>2</v>
      </c>
      <c r="S49" s="1309">
        <f>((R9^2+S9^2)*$O$51)/(100*$C$10)</f>
        <v>0.12598494728000004</v>
      </c>
      <c r="T49" s="1307">
        <f>((U9^2+V9^2)*$G$51/1000)/$C$10^2</f>
        <v>6.1115043535040015E-3</v>
      </c>
      <c r="U49" s="1308" t="s">
        <v>2</v>
      </c>
      <c r="V49" s="1309">
        <f>((U9^2+V9^2)*$O$51)/(100*$C$10)</f>
        <v>0.12561087738400004</v>
      </c>
      <c r="W49" s="1307">
        <f>((X9^2+Y9^2)*$G$51/1000)/$C$10^2</f>
        <v>6.6514131258079969E-3</v>
      </c>
      <c r="X49" s="1308" t="s">
        <v>2</v>
      </c>
      <c r="Y49" s="1309">
        <f>((X9^2+Y9^2)*$O$51)/(100*$C$10)</f>
        <v>0.13670772206799994</v>
      </c>
      <c r="Z49" s="1307">
        <f>((AA9^2+AB9^2)*$G$51/1000)/$C$10^2</f>
        <v>8.6398251769280003E-3</v>
      </c>
      <c r="AA49" s="1308" t="s">
        <v>2</v>
      </c>
      <c r="AB49" s="1309">
        <f>((AA9^2+AB9^2)*$O$51)/(100*$C$10)</f>
        <v>0.17757592208800002</v>
      </c>
      <c r="AC49" s="1307">
        <f>((AD9^2+AE9^2)*$G$51/1000)/$C$10^2</f>
        <v>1.1415099703040001E-2</v>
      </c>
      <c r="AD49" s="1308" t="s">
        <v>2</v>
      </c>
      <c r="AE49" s="1309">
        <f>((AD9^2+AE9^2)*$O$51)/(100*$C$10)</f>
        <v>0.23461665184000002</v>
      </c>
      <c r="AF49" s="1307">
        <f>((AG9^2+AH9^2)*$G$51/1000)/$C$10^2</f>
        <v>1.3027336468783995E-2</v>
      </c>
      <c r="AG49" s="1308" t="s">
        <v>2</v>
      </c>
      <c r="AH49" s="1309">
        <f>((AG9^2+AH9^2)*$O$51)/(100*$C$10)</f>
        <v>0.26775325176399994</v>
      </c>
      <c r="AI49" s="1307">
        <f>((AJ9^2+AK9^2)*$G$51/1000)/$C$10^2</f>
        <v>1.3938372252639998E-2</v>
      </c>
      <c r="AJ49" s="1308" t="s">
        <v>2</v>
      </c>
      <c r="AK49" s="1309">
        <f>((AJ9^2+AK9^2)*$O$51)/(100*$C$10)</f>
        <v>0.28647793844000002</v>
      </c>
      <c r="AL49" s="1307">
        <f>((AM9^2+AN9^2)*$G$51/1000)/$C$10^2</f>
        <v>1.4344751142128001E-2</v>
      </c>
      <c r="AM49" s="1308" t="s">
        <v>2</v>
      </c>
      <c r="AN49" s="1309">
        <f>((AM9^2+AN9^2)*$O$51)/(100*$C$10)</f>
        <v>0.29483031878800003</v>
      </c>
      <c r="AO49" s="1307">
        <f>((AP9^2+AQ9^2)*$G$51/1000)/$C$10^2</f>
        <v>1.4279398787456004E-2</v>
      </c>
      <c r="AP49" s="1308" t="s">
        <v>2</v>
      </c>
      <c r="AQ49" s="1309">
        <f>((AP9^2+AQ9^2)*$O$51)/(100*$C$10)</f>
        <v>0.29348711977600006</v>
      </c>
      <c r="AR49" s="1307">
        <f>((AS9^2+AT9^2)*$G$51/1000)/$C$10^2</f>
        <v>1.410703121432E-2</v>
      </c>
      <c r="AS49" s="1308" t="s">
        <v>2</v>
      </c>
      <c r="AT49" s="1309">
        <f>((AS9^2+AT9^2)*$O$51)/(100*$C$10)</f>
        <v>0.28994441722000003</v>
      </c>
      <c r="AU49" s="1307">
        <f>((AV9^2+AW9^2)*$G$51/1000)/$C$10^2</f>
        <v>1.4154400658287998E-2</v>
      </c>
      <c r="AV49" s="1308" t="s">
        <v>2</v>
      </c>
      <c r="AW49" s="1309">
        <f>((AV9^2+AW9^2)*$O$51)/(100*$C$10)</f>
        <v>0.29091801014800001</v>
      </c>
      <c r="AX49" s="1307">
        <f>((AY9^2+AZ9^2)*$G$51/1000)/$C$10^2</f>
        <v>1.4598331424511998E-2</v>
      </c>
      <c r="AY49" s="1308" t="s">
        <v>2</v>
      </c>
      <c r="AZ49" s="1309">
        <f>((AY9^2+AZ9^2)*$O$51)/(100*$C$10)</f>
        <v>0.30004220115200003</v>
      </c>
      <c r="BA49" s="1307">
        <f>((BB9^2+BC9^2)*$G$51/1000)/$C$10^2</f>
        <v>1.5035808483520003E-2</v>
      </c>
      <c r="BB49" s="1308" t="s">
        <v>2</v>
      </c>
      <c r="BC49" s="1309">
        <f>((BB9^2+BC9^2)*$O$51)/(100*$C$10)</f>
        <v>0.30903374792000005</v>
      </c>
      <c r="BD49" s="1307">
        <f>((BE9^2+BF9^2)*$G$51/1000)/$C$10^2</f>
        <v>1.5379570775007997E-2</v>
      </c>
      <c r="BE49" s="1308" t="s">
        <v>2</v>
      </c>
      <c r="BF49" s="1309">
        <f>((BE9^2+BF9^2)*$O$51)/(100*$C$10)</f>
        <v>0.31609915776799996</v>
      </c>
      <c r="BG49" s="1307">
        <f>((BH9^2+BI9^2)*$G$51/1000)/$C$10^2</f>
        <v>1.5142977896287999E-2</v>
      </c>
      <c r="BH49" s="1308" t="s">
        <v>2</v>
      </c>
      <c r="BI49" s="1309">
        <f>((BH9^2+BI9^2)*$O$51)/(100*$C$10)</f>
        <v>0.311236420648</v>
      </c>
      <c r="BJ49" s="1307">
        <f>((BK9^2+BL9^2)*$G$51/1000)/$C$10^2</f>
        <v>1.4664977739631999E-2</v>
      </c>
      <c r="BK49" s="1308" t="s">
        <v>2</v>
      </c>
      <c r="BL49" s="1309">
        <f>((BK9^2+BL9^2)*$O$51)/(100*$C$10)</f>
        <v>0.30141199517199996</v>
      </c>
      <c r="BM49" s="1307">
        <f>((BN9^2+BO9^2)*$G$51/1000)/$C$10^2</f>
        <v>1.4317960279215999E-2</v>
      </c>
      <c r="BN49" s="1308" t="s">
        <v>2</v>
      </c>
      <c r="BO49" s="1309">
        <f>((BN9^2+BO9^2)*$O$51)/(100*$C$10)</f>
        <v>0.29427968123600001</v>
      </c>
      <c r="BP49" s="1307">
        <f>((BQ9^2+BR9^2)*$G$51/1000)/$C$10^2</f>
        <v>1.3424021186224001E-2</v>
      </c>
      <c r="BQ49" s="1308" t="s">
        <v>2</v>
      </c>
      <c r="BR49" s="1309">
        <f>((BQ9^2+BR9^2)*$O$51)/(100*$C$10)</f>
        <v>0.27590638600400008</v>
      </c>
      <c r="BS49" s="1307">
        <f>((BT9^2+BU9^2)*$G$51/1000)/$C$10^2</f>
        <v>1.2164350690096E-2</v>
      </c>
      <c r="BT49" s="1308" t="s">
        <v>2</v>
      </c>
      <c r="BU49" s="1309">
        <f>((BT9^2+BU9^2)*$O$51)/(100*$C$10)</f>
        <v>0.250016145716</v>
      </c>
      <c r="BV49" s="1307">
        <f>((BW9^2+BX9^2)*$G$51/1000)/$C$10^2</f>
        <v>1.0374209662960003E-2</v>
      </c>
      <c r="BW49" s="1308" t="s">
        <v>2</v>
      </c>
      <c r="BX49" s="1309">
        <f>((BW9^2+BX9^2)*$O$51)/(100*$C$10)</f>
        <v>0.21322304666000008</v>
      </c>
      <c r="BY49" s="1307">
        <f>((BZ9^2+CA9^2)*$G$51/1000)/$C$10^2</f>
        <v>8.6541958476159982E-3</v>
      </c>
      <c r="BZ49" s="1308" t="s">
        <v>2</v>
      </c>
      <c r="CA49" s="1309">
        <f>((BZ9^2+CA9^2)*$O$51)/(100*$C$10)</f>
        <v>0.17787128513599998</v>
      </c>
    </row>
    <row r="50" spans="1:256" x14ac:dyDescent="0.2">
      <c r="A50" s="1149"/>
      <c r="B50" s="1310" t="s">
        <v>304</v>
      </c>
      <c r="C50" s="1311">
        <v>23</v>
      </c>
      <c r="D50" s="1312"/>
      <c r="E50" s="1312"/>
      <c r="F50" s="1313" t="s">
        <v>305</v>
      </c>
      <c r="G50" s="1314">
        <v>162.5</v>
      </c>
      <c r="H50" s="1124"/>
      <c r="I50" s="1125"/>
      <c r="J50" s="1315"/>
      <c r="K50" s="1316"/>
      <c r="L50" s="1317"/>
      <c r="M50" s="1318"/>
      <c r="N50" s="1319"/>
      <c r="O50" s="1320"/>
      <c r="P50" s="1315"/>
      <c r="Q50" s="1316"/>
      <c r="R50" s="1317"/>
      <c r="S50" s="1321"/>
      <c r="T50" s="1316"/>
      <c r="U50" s="1317"/>
      <c r="V50" s="1321"/>
      <c r="W50" s="1316"/>
      <c r="X50" s="1317"/>
      <c r="Y50" s="1321"/>
      <c r="Z50" s="1316"/>
      <c r="AA50" s="1317"/>
      <c r="AB50" s="1321"/>
      <c r="AC50" s="1316"/>
      <c r="AD50" s="1317"/>
      <c r="AE50" s="1321"/>
      <c r="AF50" s="1316"/>
      <c r="AG50" s="1317"/>
      <c r="AH50" s="1321"/>
      <c r="AI50" s="1316"/>
      <c r="AJ50" s="1317"/>
      <c r="AK50" s="1321"/>
      <c r="AL50" s="1316"/>
      <c r="AM50" s="1317"/>
      <c r="AN50" s="1321"/>
      <c r="AO50" s="1316"/>
      <c r="AP50" s="1317"/>
      <c r="AQ50" s="1321"/>
      <c r="AR50" s="1316"/>
      <c r="AS50" s="1317"/>
      <c r="AT50" s="1321"/>
      <c r="AU50" s="1316"/>
      <c r="AV50" s="1317"/>
      <c r="AW50" s="1321"/>
      <c r="AX50" s="1316"/>
      <c r="AY50" s="1317"/>
      <c r="AZ50" s="1321"/>
      <c r="BA50" s="1316"/>
      <c r="BB50" s="1317"/>
      <c r="BC50" s="1321"/>
      <c r="BD50" s="1316"/>
      <c r="BE50" s="1317"/>
      <c r="BF50" s="1321"/>
      <c r="BG50" s="1316"/>
      <c r="BH50" s="1317"/>
      <c r="BI50" s="1321"/>
      <c r="BJ50" s="1316"/>
      <c r="BK50" s="1317"/>
      <c r="BL50" s="1321"/>
      <c r="BM50" s="1316"/>
      <c r="BN50" s="1317"/>
      <c r="BO50" s="1321"/>
      <c r="BP50" s="1316"/>
      <c r="BQ50" s="1317"/>
      <c r="BR50" s="1321"/>
      <c r="BS50" s="1316"/>
      <c r="BT50" s="1317"/>
      <c r="BU50" s="1321"/>
      <c r="BV50" s="1316"/>
      <c r="BW50" s="1317"/>
      <c r="BX50" s="1321"/>
      <c r="BY50" s="1316"/>
      <c r="BZ50" s="1317"/>
      <c r="CA50" s="1321"/>
    </row>
    <row r="51" spans="1:256" ht="13.5" thickBot="1" x14ac:dyDescent="0.25">
      <c r="A51" s="1149"/>
      <c r="B51" s="1322"/>
      <c r="C51" s="1323"/>
      <c r="D51" s="1324"/>
      <c r="E51" s="1325" t="s">
        <v>57</v>
      </c>
      <c r="F51" s="1326"/>
      <c r="G51" s="1327">
        <v>124.19</v>
      </c>
      <c r="H51" s="1206"/>
      <c r="I51" s="1328"/>
      <c r="J51" s="1329"/>
      <c r="K51" s="1330"/>
      <c r="L51" s="1330"/>
      <c r="M51" s="1330"/>
      <c r="N51" s="1206" t="s">
        <v>56</v>
      </c>
      <c r="O51" s="1328">
        <v>10.210000000000001</v>
      </c>
      <c r="P51" s="1329"/>
      <c r="Q51" s="1330"/>
      <c r="R51" s="1330"/>
      <c r="S51" s="1331"/>
      <c r="T51" s="1330"/>
      <c r="U51" s="1330"/>
      <c r="V51" s="1331"/>
      <c r="W51" s="1330"/>
      <c r="X51" s="1330"/>
      <c r="Y51" s="1331"/>
      <c r="Z51" s="1330"/>
      <c r="AA51" s="1330"/>
      <c r="AB51" s="1331"/>
      <c r="AC51" s="1330"/>
      <c r="AD51" s="1330"/>
      <c r="AE51" s="1331"/>
      <c r="AF51" s="1330"/>
      <c r="AG51" s="1330"/>
      <c r="AH51" s="1331"/>
      <c r="AI51" s="1330"/>
      <c r="AJ51" s="1330"/>
      <c r="AK51" s="1331"/>
      <c r="AL51" s="1330"/>
      <c r="AM51" s="1330"/>
      <c r="AN51" s="1331"/>
      <c r="AO51" s="1330"/>
      <c r="AP51" s="1330"/>
      <c r="AQ51" s="1331"/>
      <c r="AR51" s="1330"/>
      <c r="AS51" s="1330"/>
      <c r="AT51" s="1331"/>
      <c r="AU51" s="1330"/>
      <c r="AV51" s="1330"/>
      <c r="AW51" s="1331"/>
      <c r="AX51" s="1330"/>
      <c r="AY51" s="1330"/>
      <c r="AZ51" s="1331"/>
      <c r="BA51" s="1330"/>
      <c r="BB51" s="1330"/>
      <c r="BC51" s="1331"/>
      <c r="BD51" s="1330"/>
      <c r="BE51" s="1330"/>
      <c r="BF51" s="1331"/>
      <c r="BG51" s="1330"/>
      <c r="BH51" s="1330"/>
      <c r="BI51" s="1331"/>
      <c r="BJ51" s="1330"/>
      <c r="BK51" s="1330"/>
      <c r="BL51" s="1331"/>
      <c r="BM51" s="1330"/>
      <c r="BN51" s="1330"/>
      <c r="BO51" s="1331"/>
      <c r="BP51" s="1330"/>
      <c r="BQ51" s="1330"/>
      <c r="BR51" s="1331"/>
      <c r="BS51" s="1330"/>
      <c r="BT51" s="1330"/>
      <c r="BU51" s="1331"/>
      <c r="BV51" s="1330"/>
      <c r="BW51" s="1330"/>
      <c r="BX51" s="1331"/>
      <c r="BY51" s="1330"/>
      <c r="BZ51" s="1330"/>
      <c r="CA51" s="1331"/>
    </row>
    <row r="52" spans="1:256" ht="13.5" thickBot="1" x14ac:dyDescent="0.25">
      <c r="A52" s="1332"/>
      <c r="B52" s="2406" t="s">
        <v>29</v>
      </c>
      <c r="C52" s="2407"/>
      <c r="D52" s="2407"/>
      <c r="E52" s="2407"/>
      <c r="F52" s="2407"/>
      <c r="G52" s="2408"/>
      <c r="H52" s="1333">
        <f>I8</f>
        <v>6.1749999999999998</v>
      </c>
      <c r="I52" s="1334" t="s">
        <v>2</v>
      </c>
      <c r="J52" s="1335">
        <f>J8</f>
        <v>0.14500000000000002</v>
      </c>
      <c r="K52" s="1333">
        <f>L8</f>
        <v>5.82</v>
      </c>
      <c r="L52" s="1334" t="s">
        <v>2</v>
      </c>
      <c r="M52" s="1335">
        <f>M8</f>
        <v>0.21199999999999999</v>
      </c>
      <c r="N52" s="1333">
        <f>O8</f>
        <v>5.6290000000000004</v>
      </c>
      <c r="O52" s="1334" t="s">
        <v>2</v>
      </c>
      <c r="P52" s="1335">
        <f>P8</f>
        <v>0.217</v>
      </c>
      <c r="Q52" s="1333">
        <f>R8</f>
        <v>5.5520000000000005</v>
      </c>
      <c r="R52" s="1334" t="s">
        <v>2</v>
      </c>
      <c r="S52" s="1335">
        <f>S8</f>
        <v>0.15400000000000003</v>
      </c>
      <c r="T52" s="1333">
        <f>U8</f>
        <v>5.5450000000000008</v>
      </c>
      <c r="U52" s="1334" t="s">
        <v>2</v>
      </c>
      <c r="V52" s="1335">
        <f>V8</f>
        <v>9.8999999999999991E-2</v>
      </c>
      <c r="W52" s="1333">
        <f>X8</f>
        <v>5.7839999999999989</v>
      </c>
      <c r="X52" s="1334" t="s">
        <v>2</v>
      </c>
      <c r="Y52" s="1335">
        <f>Y8</f>
        <v>0.13900000000000001</v>
      </c>
      <c r="Z52" s="1333">
        <f>AA8</f>
        <v>6.5910000000000002</v>
      </c>
      <c r="AA52" s="1334" t="s">
        <v>2</v>
      </c>
      <c r="AB52" s="1335">
        <f>AB8</f>
        <v>0.19900000000000001</v>
      </c>
      <c r="AC52" s="1333">
        <f>AD8</f>
        <v>7.5760000000000005</v>
      </c>
      <c r="AD52" s="1334" t="s">
        <v>2</v>
      </c>
      <c r="AE52" s="1335">
        <f>AE8</f>
        <v>0.22800000000000001</v>
      </c>
      <c r="AF52" s="1333">
        <f>AG8</f>
        <v>8.0889999999999986</v>
      </c>
      <c r="AG52" s="1334" t="s">
        <v>2</v>
      </c>
      <c r="AH52" s="1335">
        <f>AH8</f>
        <v>0.36</v>
      </c>
      <c r="AI52" s="1333">
        <f>AJ8</f>
        <v>8.359</v>
      </c>
      <c r="AJ52" s="1334" t="s">
        <v>2</v>
      </c>
      <c r="AK52" s="1335">
        <f>AK8</f>
        <v>0.52300000000000002</v>
      </c>
      <c r="AL52" s="1333">
        <f>AM8</f>
        <v>8.4809999999999999</v>
      </c>
      <c r="AM52" s="1334" t="s">
        <v>2</v>
      </c>
      <c r="AN52" s="1335">
        <f>AN8</f>
        <v>0.51400000000000001</v>
      </c>
      <c r="AO52" s="1333">
        <f>AP8</f>
        <v>8.4580000000000002</v>
      </c>
      <c r="AP52" s="1334" t="s">
        <v>2</v>
      </c>
      <c r="AQ52" s="1335">
        <f>AQ8</f>
        <v>0.57000000000000006</v>
      </c>
      <c r="AR52" s="1333">
        <f>AS8</f>
        <v>8.4139999999999997</v>
      </c>
      <c r="AS52" s="1334" t="s">
        <v>2</v>
      </c>
      <c r="AT52" s="1335">
        <f>AT8</f>
        <v>0.44700000000000001</v>
      </c>
      <c r="AU52" s="1333">
        <f>AV8</f>
        <v>8.4209999999999994</v>
      </c>
      <c r="AV52" s="1334" t="s">
        <v>2</v>
      </c>
      <c r="AW52" s="1335">
        <f>AW8</f>
        <v>0.56600000000000006</v>
      </c>
      <c r="AX52" s="1333">
        <f>AY8</f>
        <v>8.548</v>
      </c>
      <c r="AY52" s="1334" t="s">
        <v>2</v>
      </c>
      <c r="AZ52" s="1335">
        <f>AZ8</f>
        <v>0.63200000000000001</v>
      </c>
      <c r="BA52" s="1333">
        <f>BB8</f>
        <v>8.6859999999999999</v>
      </c>
      <c r="BB52" s="1334" t="s">
        <v>2</v>
      </c>
      <c r="BC52" s="1335">
        <f>BC8</f>
        <v>0.47199999999999998</v>
      </c>
      <c r="BD52" s="1333">
        <f>BE8</f>
        <v>8.7889999999999997</v>
      </c>
      <c r="BE52" s="1334" t="s">
        <v>2</v>
      </c>
      <c r="BF52" s="1335">
        <f>BF8</f>
        <v>0.39100000000000001</v>
      </c>
      <c r="BG52" s="1333">
        <f>BH8</f>
        <v>8.7210000000000001</v>
      </c>
      <c r="BH52" s="1334" t="s">
        <v>2</v>
      </c>
      <c r="BI52" s="1335">
        <f>BI8</f>
        <v>0.39100000000000001</v>
      </c>
      <c r="BJ52" s="1333">
        <f>BK8</f>
        <v>8.5869999999999997</v>
      </c>
      <c r="BK52" s="1334" t="s">
        <v>2</v>
      </c>
      <c r="BL52" s="1335">
        <f>BL8</f>
        <v>0.25800000000000001</v>
      </c>
      <c r="BM52" s="1333">
        <f>BN8</f>
        <v>8.4849999999999994</v>
      </c>
      <c r="BN52" s="1334" t="s">
        <v>2</v>
      </c>
      <c r="BO52" s="1335">
        <f>BO8</f>
        <v>0.248</v>
      </c>
      <c r="BP52" s="1333">
        <f>BQ8</f>
        <v>8.2160000000000011</v>
      </c>
      <c r="BQ52" s="1334" t="s">
        <v>2</v>
      </c>
      <c r="BR52" s="1335">
        <f>BR8</f>
        <v>0.23499999999999999</v>
      </c>
      <c r="BS52" s="1333">
        <f>BT8</f>
        <v>7.82</v>
      </c>
      <c r="BT52" s="1334" t="s">
        <v>2</v>
      </c>
      <c r="BU52" s="1335">
        <f>BU8</f>
        <v>0.25700000000000001</v>
      </c>
      <c r="BV52" s="1333">
        <f>BW8</f>
        <v>7.2230000000000008</v>
      </c>
      <c r="BW52" s="1334" t="s">
        <v>2</v>
      </c>
      <c r="BX52" s="1335">
        <f>BX8</f>
        <v>0.19399999999999998</v>
      </c>
      <c r="BY52" s="1333">
        <f>BZ8</f>
        <v>6.5979999999999999</v>
      </c>
      <c r="BZ52" s="1334" t="s">
        <v>2</v>
      </c>
      <c r="CA52" s="1335">
        <f>CA8</f>
        <v>0.13999999999999999</v>
      </c>
    </row>
    <row r="53" spans="1:256" x14ac:dyDescent="0.2">
      <c r="A53" s="1336"/>
      <c r="B53" s="1297" t="s">
        <v>22</v>
      </c>
      <c r="C53" s="1257"/>
      <c r="D53" s="1298" t="s">
        <v>45</v>
      </c>
      <c r="E53" s="1257"/>
      <c r="F53" s="1257"/>
      <c r="G53" s="1257"/>
      <c r="H53" s="1299">
        <v>2.1999999999999999E-2</v>
      </c>
      <c r="I53" s="1300" t="s">
        <v>2</v>
      </c>
      <c r="J53" s="1301">
        <v>0.16500000000000001</v>
      </c>
      <c r="K53" s="1299">
        <v>2.1999999999999999E-2</v>
      </c>
      <c r="L53" s="1300" t="s">
        <v>2</v>
      </c>
      <c r="M53" s="1301">
        <v>0.16500000000000001</v>
      </c>
      <c r="N53" s="1299">
        <v>2.1999999999999999E-2</v>
      </c>
      <c r="O53" s="1300" t="s">
        <v>2</v>
      </c>
      <c r="P53" s="1301">
        <v>0.16500000000000001</v>
      </c>
      <c r="Q53" s="1299">
        <v>2.1999999999999999E-2</v>
      </c>
      <c r="R53" s="1300" t="s">
        <v>2</v>
      </c>
      <c r="S53" s="1301">
        <v>0.16500000000000001</v>
      </c>
      <c r="T53" s="1299">
        <v>2.1999999999999999E-2</v>
      </c>
      <c r="U53" s="1300" t="s">
        <v>2</v>
      </c>
      <c r="V53" s="1301">
        <v>0.16500000000000001</v>
      </c>
      <c r="W53" s="1299">
        <v>2.1999999999999999E-2</v>
      </c>
      <c r="X53" s="1300" t="s">
        <v>2</v>
      </c>
      <c r="Y53" s="1301">
        <v>0.16500000000000001</v>
      </c>
      <c r="Z53" s="1299">
        <v>2.1999999999999999E-2</v>
      </c>
      <c r="AA53" s="1300" t="s">
        <v>2</v>
      </c>
      <c r="AB53" s="1301">
        <v>0.16500000000000001</v>
      </c>
      <c r="AC53" s="1299">
        <v>2.1999999999999999E-2</v>
      </c>
      <c r="AD53" s="1300" t="s">
        <v>2</v>
      </c>
      <c r="AE53" s="1301">
        <v>0.16500000000000001</v>
      </c>
      <c r="AF53" s="1299">
        <v>2.1999999999999999E-2</v>
      </c>
      <c r="AG53" s="1300" t="s">
        <v>2</v>
      </c>
      <c r="AH53" s="1301">
        <v>0.16500000000000001</v>
      </c>
      <c r="AI53" s="1299">
        <v>2.1999999999999999E-2</v>
      </c>
      <c r="AJ53" s="1300" t="s">
        <v>2</v>
      </c>
      <c r="AK53" s="1301">
        <v>0.16500000000000001</v>
      </c>
      <c r="AL53" s="1299">
        <v>2.1999999999999999E-2</v>
      </c>
      <c r="AM53" s="1300" t="s">
        <v>2</v>
      </c>
      <c r="AN53" s="1301">
        <v>0.16500000000000001</v>
      </c>
      <c r="AO53" s="1299">
        <v>2.1999999999999999E-2</v>
      </c>
      <c r="AP53" s="1300" t="s">
        <v>2</v>
      </c>
      <c r="AQ53" s="1301">
        <v>0.16500000000000001</v>
      </c>
      <c r="AR53" s="1299">
        <v>2.1999999999999999E-2</v>
      </c>
      <c r="AS53" s="1300" t="s">
        <v>2</v>
      </c>
      <c r="AT53" s="1301">
        <v>0.16500000000000001</v>
      </c>
      <c r="AU53" s="1299">
        <v>2.1999999999999999E-2</v>
      </c>
      <c r="AV53" s="1300" t="s">
        <v>2</v>
      </c>
      <c r="AW53" s="1301">
        <v>0.16500000000000001</v>
      </c>
      <c r="AX53" s="1299">
        <v>2.1999999999999999E-2</v>
      </c>
      <c r="AY53" s="1300" t="s">
        <v>2</v>
      </c>
      <c r="AZ53" s="1301">
        <v>0.16500000000000001</v>
      </c>
      <c r="BA53" s="1299">
        <v>2.1999999999999999E-2</v>
      </c>
      <c r="BB53" s="1300" t="s">
        <v>2</v>
      </c>
      <c r="BC53" s="1301">
        <v>0.16500000000000001</v>
      </c>
      <c r="BD53" s="1299">
        <v>2.1999999999999999E-2</v>
      </c>
      <c r="BE53" s="1300" t="s">
        <v>2</v>
      </c>
      <c r="BF53" s="1301">
        <v>0.16500000000000001</v>
      </c>
      <c r="BG53" s="1299">
        <v>2.1999999999999999E-2</v>
      </c>
      <c r="BH53" s="1300" t="s">
        <v>2</v>
      </c>
      <c r="BI53" s="1301">
        <v>0.16500000000000001</v>
      </c>
      <c r="BJ53" s="1299">
        <v>2.1999999999999999E-2</v>
      </c>
      <c r="BK53" s="1300" t="s">
        <v>2</v>
      </c>
      <c r="BL53" s="1301">
        <v>0.16500000000000001</v>
      </c>
      <c r="BM53" s="1299">
        <v>2.1999999999999999E-2</v>
      </c>
      <c r="BN53" s="1300" t="s">
        <v>2</v>
      </c>
      <c r="BO53" s="1301">
        <v>0.16500000000000001</v>
      </c>
      <c r="BP53" s="1299">
        <v>2.1999999999999999E-2</v>
      </c>
      <c r="BQ53" s="1300" t="s">
        <v>2</v>
      </c>
      <c r="BR53" s="1301">
        <v>0.16500000000000001</v>
      </c>
      <c r="BS53" s="1299">
        <v>2.1999999999999999E-2</v>
      </c>
      <c r="BT53" s="1300" t="s">
        <v>2</v>
      </c>
      <c r="BU53" s="1301">
        <v>0.16500000000000001</v>
      </c>
      <c r="BV53" s="1299">
        <v>2.1999999999999999E-2</v>
      </c>
      <c r="BW53" s="1300" t="s">
        <v>2</v>
      </c>
      <c r="BX53" s="1301">
        <v>0.16500000000000001</v>
      </c>
      <c r="BY53" s="1299">
        <v>2.1999999999999999E-2</v>
      </c>
      <c r="BZ53" s="1300" t="s">
        <v>2</v>
      </c>
      <c r="CA53" s="1301">
        <v>0.16500000000000001</v>
      </c>
    </row>
    <row r="54" spans="1:256" ht="13.5" thickBot="1" x14ac:dyDescent="0.25">
      <c r="A54" s="1337" t="s">
        <v>1</v>
      </c>
      <c r="B54" s="1303" t="s">
        <v>23</v>
      </c>
      <c r="C54" s="1304"/>
      <c r="D54" s="1304" t="s">
        <v>24</v>
      </c>
      <c r="E54" s="1305"/>
      <c r="F54" s="1306"/>
      <c r="G54" s="1338"/>
      <c r="H54" s="1307">
        <f>((I15^2+J15^2)*$G$56/1000)/$C$16^2</f>
        <v>2.6968945982399992E-3</v>
      </c>
      <c r="I54" s="1308" t="s">
        <v>2</v>
      </c>
      <c r="J54" s="1309">
        <f>((I15^2+J15^2)*$O$56)/(100*$C$16)</f>
        <v>5.8742428319999977E-2</v>
      </c>
      <c r="K54" s="1307">
        <f>((L15^2+M15^2)*$G$56/1000)/$C$16^2</f>
        <v>2.4171391755360002E-3</v>
      </c>
      <c r="L54" s="1308" t="s">
        <v>2</v>
      </c>
      <c r="M54" s="1309">
        <f>((L15^2+M15^2)*$O$56)/(100*$C$16)</f>
        <v>5.2648933648000003E-2</v>
      </c>
      <c r="N54" s="1307">
        <f>((O15^2+P15^2)*$G$56/1000)/$C$16^2</f>
        <v>2.3024528955359995E-3</v>
      </c>
      <c r="O54" s="1308" t="s">
        <v>2</v>
      </c>
      <c r="P54" s="1309">
        <f>((O15^2+P15^2)*$O$56)/(100*$C$16)</f>
        <v>5.0150893647999989E-2</v>
      </c>
      <c r="Q54" s="1307">
        <f>((R15^2+S15^2)*$G$56/1000)/$C$16^2</f>
        <v>2.2282100006400002E-3</v>
      </c>
      <c r="R54" s="1308" t="s">
        <v>2</v>
      </c>
      <c r="S54" s="1309">
        <f>((R15^2+S15^2)*$O$56)/(100*$C$16)</f>
        <v>4.8533771520000005E-2</v>
      </c>
      <c r="T54" s="1307">
        <f>((U15^2+V15^2)*$G$56/1000)/$C$16^2</f>
        <v>2.2348380180959998E-3</v>
      </c>
      <c r="U54" s="1308" t="s">
        <v>2</v>
      </c>
      <c r="V54" s="1309">
        <f>((U15^2+V15^2)*$O$56)/(100*$C$16)</f>
        <v>4.8678139728000003E-2</v>
      </c>
      <c r="W54" s="1307">
        <f>((X15^2+Y15^2)*$G$56/1000)/$C$16^2</f>
        <v>2.395113179904E-3</v>
      </c>
      <c r="X54" s="1308" t="s">
        <v>2</v>
      </c>
      <c r="Y54" s="1309">
        <f>((X15^2+Y15^2)*$O$56)/(100*$C$16)</f>
        <v>5.2169174271999998E-2</v>
      </c>
      <c r="Z54" s="1307">
        <f>((AA15^2+AB15^2)*$G$56/1000)/$C$16^2</f>
        <v>3.0180962266560005E-3</v>
      </c>
      <c r="AA54" s="1308" t="s">
        <v>2</v>
      </c>
      <c r="AB54" s="1309">
        <f>((AA15^2+AB15^2)*$O$56)/(100*$C$16)</f>
        <v>6.5738683808000006E-2</v>
      </c>
      <c r="AC54" s="1307">
        <f>((AD15^2+AE15^2)*$G$56/1000)/$C$16^2</f>
        <v>3.9118440468959986E-3</v>
      </c>
      <c r="AD54" s="1308" t="s">
        <v>2</v>
      </c>
      <c r="AE54" s="1309">
        <f>((AD15^2+AE15^2)*$O$56)/(100*$C$16)</f>
        <v>8.5205858127999981E-2</v>
      </c>
      <c r="AF54" s="1307">
        <f>((AG15^2+AH15^2)*$G$56/1000)/$C$16^2</f>
        <v>4.3095328344000009E-3</v>
      </c>
      <c r="AG54" s="1308" t="s">
        <v>2</v>
      </c>
      <c r="AH54" s="1309">
        <f>((AG15^2+AH15^2)*$O$56)/(100*$C$16)</f>
        <v>9.3868119200000016E-2</v>
      </c>
      <c r="AI54" s="1307">
        <f>((AJ15^2+AK15^2)*$G$56/1000)/$C$16^2</f>
        <v>4.3591405499999996E-3</v>
      </c>
      <c r="AJ54" s="1308" t="s">
        <v>2</v>
      </c>
      <c r="AK54" s="1309">
        <f>((AJ15^2+AK15^2)*$O$56)/(100*$C$16)</f>
        <v>9.4948649999999982E-2</v>
      </c>
      <c r="AL54" s="1307">
        <f>((AM15^2+AN15^2)*$G$56/1000)/$C$16^2</f>
        <v>4.3839647020799998E-3</v>
      </c>
      <c r="AM54" s="1308" t="s">
        <v>2</v>
      </c>
      <c r="AN54" s="1309">
        <f>((AM15^2+AN15^2)*$O$56)/(100*$C$16)</f>
        <v>9.5489357439999992E-2</v>
      </c>
      <c r="AO54" s="1307">
        <f>((AP15^2+AQ15^2)*$G$56/1000)/$C$16^2</f>
        <v>4.4729939149920003E-3</v>
      </c>
      <c r="AP54" s="1308" t="s">
        <v>2</v>
      </c>
      <c r="AQ54" s="1309">
        <f>((AP15^2+AQ15^2)*$O$56)/(100*$C$16)</f>
        <v>9.7428547856000025E-2</v>
      </c>
      <c r="AR54" s="1307">
        <f>((AS15^2+AT15^2)*$G$56/1000)/$C$16^2</f>
        <v>4.4381219232959993E-3</v>
      </c>
      <c r="AS54" s="1308" t="s">
        <v>2</v>
      </c>
      <c r="AT54" s="1309">
        <f>((AS15^2+AT15^2)*$O$56)/(100*$C$16)</f>
        <v>9.6668983327999988E-2</v>
      </c>
      <c r="AU54" s="1307">
        <f>((AV15^2+AW15^2)*$G$56/1000)/$C$16^2</f>
        <v>4.4446521506400008E-3</v>
      </c>
      <c r="AV54" s="1308" t="s">
        <v>2</v>
      </c>
      <c r="AW54" s="1309">
        <f>((AV15^2+AW15^2)*$O$56)/(100*$C$16)</f>
        <v>9.6811221520000018E-2</v>
      </c>
      <c r="AX54" s="1307">
        <f>((AY15^2+AZ15^2)*$G$56/1000)/$C$16^2</f>
        <v>4.4082442123200005E-3</v>
      </c>
      <c r="AY54" s="1308" t="s">
        <v>2</v>
      </c>
      <c r="AZ54" s="1309">
        <f>((AY15^2+AZ15^2)*$O$56)/(100*$C$16)</f>
        <v>9.6018201760000005E-2</v>
      </c>
      <c r="BA54" s="1307">
        <f>((BB15^2+BC15^2)*$G$56/1000)/$C$16^2</f>
        <v>4.5880386958080006E-3</v>
      </c>
      <c r="BB54" s="1308" t="s">
        <v>2</v>
      </c>
      <c r="BC54" s="1309">
        <f>((BB15^2+BC15^2)*$O$56)/(100*$C$16)</f>
        <v>9.9934396544000006E-2</v>
      </c>
      <c r="BD54" s="1307">
        <f>((BE15^2+BF15^2)*$G$56/1000)/$C$16^2</f>
        <v>4.8307458248639992E-3</v>
      </c>
      <c r="BE54" s="1308" t="s">
        <v>2</v>
      </c>
      <c r="BF54" s="1309">
        <f>((BE15^2+BF15^2)*$O$56)/(100*$C$16)</f>
        <v>0.10522092355199998</v>
      </c>
      <c r="BG54" s="1307">
        <f>((BH15^2+BI15^2)*$G$56/1000)/$C$16^2</f>
        <v>4.8609223809119983E-3</v>
      </c>
      <c r="BH54" s="1308" t="s">
        <v>2</v>
      </c>
      <c r="BI54" s="1309">
        <f>((BH15^2+BI15^2)*$O$56)/(100*$C$16)</f>
        <v>0.10587821441599997</v>
      </c>
      <c r="BJ54" s="1307">
        <f>((BK15^2+BL15^2)*$G$56/1000)/$C$16^2</f>
        <v>4.9634621095680006E-3</v>
      </c>
      <c r="BK54" s="1308" t="s">
        <v>2</v>
      </c>
      <c r="BL54" s="1309">
        <f>((BK15^2+BL15^2)*$O$56)/(100*$C$16)</f>
        <v>0.10811168422400001</v>
      </c>
      <c r="BM54" s="1307">
        <f>((BN15^2+BO15^2)*$G$56/1000)/$C$16^2</f>
        <v>5.0705768296799977E-3</v>
      </c>
      <c r="BN54" s="1308" t="s">
        <v>2</v>
      </c>
      <c r="BO54" s="1309">
        <f>((BN15^2+BO15^2)*$O$56)/(100*$C$16)</f>
        <v>0.11044480423999996</v>
      </c>
      <c r="BP54" s="1307">
        <f>((BQ15^2+BR15^2)*$G$56/1000)/$C$16^2</f>
        <v>4.9869794988000012E-3</v>
      </c>
      <c r="BQ54" s="1308" t="s">
        <v>2</v>
      </c>
      <c r="BR54" s="1309">
        <f>((BQ15^2+BR15^2)*$O$56)/(100*$C$16)</f>
        <v>0.1086239284</v>
      </c>
      <c r="BS54" s="1307">
        <f>((BT15^2+BU15^2)*$G$56/1000)/$C$16^2</f>
        <v>4.5308915135999998E-3</v>
      </c>
      <c r="BT54" s="1308" t="s">
        <v>2</v>
      </c>
      <c r="BU54" s="1309">
        <f>((BT15^2+BU15^2)*$O$56)/(100*$C$16)</f>
        <v>9.868964479999999E-2</v>
      </c>
      <c r="BV54" s="1307">
        <f>((BW15^2+BX15^2)*$G$56/1000)/$C$16^2</f>
        <v>4.0429803983039999E-3</v>
      </c>
      <c r="BW54" s="1308" t="s">
        <v>2</v>
      </c>
      <c r="BX54" s="1309">
        <f>((BW15^2+BX15^2)*$O$56)/(100*$C$16)</f>
        <v>8.8062205471999999E-2</v>
      </c>
      <c r="BY54" s="1307">
        <f>((BZ15^2+CA15^2)*$G$56/1000)/$C$16^2</f>
        <v>3.432229799615999E-3</v>
      </c>
      <c r="BZ54" s="1308" t="s">
        <v>2</v>
      </c>
      <c r="CA54" s="1309">
        <f>((BZ15^2+CA15^2)*$O$56)/(100*$C$16)</f>
        <v>7.4759137087999986E-2</v>
      </c>
    </row>
    <row r="55" spans="1:256" x14ac:dyDescent="0.2">
      <c r="A55" s="1339"/>
      <c r="B55" s="1340" t="s">
        <v>304</v>
      </c>
      <c r="C55" s="1311">
        <v>22</v>
      </c>
      <c r="D55" s="1312"/>
      <c r="E55" s="1312"/>
      <c r="F55" s="1313" t="s">
        <v>305</v>
      </c>
      <c r="G55" s="1314">
        <v>165</v>
      </c>
      <c r="H55" s="1124"/>
      <c r="I55" s="1125"/>
      <c r="J55" s="1341"/>
      <c r="K55" s="1342"/>
      <c r="L55" s="1343"/>
      <c r="M55" s="1343"/>
      <c r="N55" s="1344"/>
      <c r="O55" s="1343"/>
      <c r="P55" s="1341"/>
      <c r="Q55" s="1342"/>
      <c r="R55" s="1343"/>
      <c r="S55" s="1343"/>
      <c r="T55" s="1342"/>
      <c r="U55" s="1343"/>
      <c r="V55" s="1343"/>
      <c r="W55" s="1342"/>
      <c r="X55" s="1343"/>
      <c r="Y55" s="1343"/>
      <c r="Z55" s="1342"/>
      <c r="AA55" s="1343"/>
      <c r="AB55" s="1345"/>
      <c r="AC55" s="1346"/>
      <c r="AD55" s="1347"/>
      <c r="AE55" s="1347"/>
      <c r="AF55" s="1342"/>
      <c r="AG55" s="1343"/>
      <c r="AH55" s="1343"/>
      <c r="AI55" s="1342"/>
      <c r="AJ55" s="1343"/>
      <c r="AK55" s="1343"/>
      <c r="AL55" s="1342"/>
      <c r="AM55" s="1343"/>
      <c r="AN55" s="1343"/>
      <c r="AO55" s="1342"/>
      <c r="AP55" s="1343"/>
      <c r="AQ55" s="1343"/>
      <c r="AR55" s="1342"/>
      <c r="AS55" s="1343"/>
      <c r="AT55" s="1343"/>
      <c r="AU55" s="1342"/>
      <c r="AV55" s="1343"/>
      <c r="AW55" s="1343"/>
      <c r="AX55" s="1342"/>
      <c r="AY55" s="1343"/>
      <c r="AZ55" s="1343"/>
      <c r="BA55" s="1342"/>
      <c r="BB55" s="1343"/>
      <c r="BC55" s="1343"/>
      <c r="BD55" s="1342"/>
      <c r="BE55" s="1343"/>
      <c r="BF55" s="1343"/>
      <c r="BG55" s="1342"/>
      <c r="BH55" s="1343"/>
      <c r="BI55" s="1343"/>
      <c r="BJ55" s="1342"/>
      <c r="BK55" s="1343"/>
      <c r="BL55" s="1343"/>
      <c r="BM55" s="1342"/>
      <c r="BN55" s="1343"/>
      <c r="BO55" s="1345"/>
      <c r="BP55" s="1346"/>
      <c r="BQ55" s="1347"/>
      <c r="BR55" s="1347"/>
      <c r="BS55" s="1342"/>
      <c r="BT55" s="1343"/>
      <c r="BU55" s="1345"/>
      <c r="BV55" s="1346"/>
      <c r="BW55" s="1347"/>
      <c r="BX55" s="1347"/>
      <c r="BY55" s="1342"/>
      <c r="BZ55" s="1343"/>
      <c r="CA55" s="1345"/>
    </row>
    <row r="56" spans="1:256" ht="13.5" thickBot="1" x14ac:dyDescent="0.25">
      <c r="A56" s="1339"/>
      <c r="B56" s="1348"/>
      <c r="C56" s="1294"/>
      <c r="D56" s="1291"/>
      <c r="E56" s="1325" t="s">
        <v>57</v>
      </c>
      <c r="F56" s="1326"/>
      <c r="G56" s="1349">
        <v>117.99</v>
      </c>
      <c r="H56" s="1206"/>
      <c r="I56" s="1328"/>
      <c r="J56" s="1328"/>
      <c r="K56" s="1204"/>
      <c r="L56" s="1330"/>
      <c r="M56" s="1330"/>
      <c r="N56" s="1206" t="s">
        <v>56</v>
      </c>
      <c r="O56" s="1324">
        <v>10.28</v>
      </c>
      <c r="P56" s="1328"/>
      <c r="Q56" s="1204"/>
      <c r="R56" s="1330"/>
      <c r="S56" s="1350"/>
      <c r="T56" s="1204"/>
      <c r="U56" s="1330"/>
      <c r="V56" s="1350"/>
      <c r="W56" s="1204"/>
      <c r="X56" s="1330"/>
      <c r="Y56" s="1350"/>
      <c r="Z56" s="1204"/>
      <c r="AA56" s="1330"/>
      <c r="AB56" s="1351"/>
      <c r="AC56" s="1330"/>
      <c r="AD56" s="1330"/>
      <c r="AE56" s="1347"/>
      <c r="AF56" s="1204"/>
      <c r="AG56" s="1330"/>
      <c r="AH56" s="1350"/>
      <c r="AI56" s="1204"/>
      <c r="AJ56" s="1330"/>
      <c r="AK56" s="1350"/>
      <c r="AL56" s="1204"/>
      <c r="AM56" s="1330"/>
      <c r="AN56" s="1350"/>
      <c r="AO56" s="1204"/>
      <c r="AP56" s="1330"/>
      <c r="AQ56" s="1350"/>
      <c r="AR56" s="1204"/>
      <c r="AS56" s="1330"/>
      <c r="AT56" s="1350"/>
      <c r="AU56" s="1204"/>
      <c r="AV56" s="1330"/>
      <c r="AW56" s="1350"/>
      <c r="AX56" s="1204"/>
      <c r="AY56" s="1330"/>
      <c r="AZ56" s="1350"/>
      <c r="BA56" s="1204"/>
      <c r="BB56" s="1330"/>
      <c r="BC56" s="1350"/>
      <c r="BD56" s="1204"/>
      <c r="BE56" s="1330"/>
      <c r="BF56" s="1350"/>
      <c r="BG56" s="1204"/>
      <c r="BH56" s="1330"/>
      <c r="BI56" s="1350"/>
      <c r="BJ56" s="1204"/>
      <c r="BK56" s="1330"/>
      <c r="BL56" s="1350"/>
      <c r="BM56" s="1204"/>
      <c r="BN56" s="1330"/>
      <c r="BO56" s="1351"/>
      <c r="BP56" s="1330"/>
      <c r="BQ56" s="1330"/>
      <c r="BR56" s="1347"/>
      <c r="BS56" s="1204"/>
      <c r="BT56" s="1330"/>
      <c r="BU56" s="1351"/>
      <c r="BV56" s="1330"/>
      <c r="BW56" s="1330"/>
      <c r="BX56" s="1347"/>
      <c r="BY56" s="1204"/>
      <c r="BZ56" s="1330"/>
      <c r="CA56" s="1351"/>
    </row>
    <row r="57" spans="1:256" ht="13.5" thickBot="1" x14ac:dyDescent="0.25">
      <c r="A57" s="1183"/>
      <c r="B57" s="2406" t="s">
        <v>29</v>
      </c>
      <c r="C57" s="2407"/>
      <c r="D57" s="2407"/>
      <c r="E57" s="2407"/>
      <c r="F57" s="2407"/>
      <c r="G57" s="2408"/>
      <c r="H57" s="1352">
        <f>I14</f>
        <v>3.7769999999999992</v>
      </c>
      <c r="I57" s="1353" t="s">
        <v>2</v>
      </c>
      <c r="J57" s="1354">
        <f>J14</f>
        <v>0.14100000000000001</v>
      </c>
      <c r="K57" s="1352">
        <f>L14</f>
        <v>3.5750000000000002</v>
      </c>
      <c r="L57" s="1353" t="s">
        <v>2</v>
      </c>
      <c r="M57" s="1354">
        <f>M14</f>
        <v>0.15200000000000002</v>
      </c>
      <c r="N57" s="1352">
        <f>O14</f>
        <v>3.4899999999999998</v>
      </c>
      <c r="O57" s="1353" t="s">
        <v>2</v>
      </c>
      <c r="P57" s="1354">
        <f>P14</f>
        <v>0.127</v>
      </c>
      <c r="Q57" s="1352">
        <f>R14</f>
        <v>3.4320000000000004</v>
      </c>
      <c r="R57" s="1353" t="s">
        <v>2</v>
      </c>
      <c r="S57" s="1354">
        <f>S14</f>
        <v>0.15600000000000003</v>
      </c>
      <c r="T57" s="1352">
        <f>U14</f>
        <v>3.4380000000000002</v>
      </c>
      <c r="U57" s="1353" t="s">
        <v>2</v>
      </c>
      <c r="V57" s="1354">
        <f>V14</f>
        <v>0.13500000000000001</v>
      </c>
      <c r="W57" s="1352">
        <f>X14</f>
        <v>3.56</v>
      </c>
      <c r="X57" s="1353" t="s">
        <v>2</v>
      </c>
      <c r="Y57" s="1354">
        <f>Y14</f>
        <v>0.11599999999999999</v>
      </c>
      <c r="Z57" s="1352">
        <f>AA14</f>
        <v>3.9970000000000003</v>
      </c>
      <c r="AA57" s="1353" t="s">
        <v>2</v>
      </c>
      <c r="AB57" s="1355">
        <f>AB14</f>
        <v>0.105</v>
      </c>
      <c r="AC57" s="1356">
        <f>AD14</f>
        <v>4.55</v>
      </c>
      <c r="AD57" s="1353" t="s">
        <v>2</v>
      </c>
      <c r="AE57" s="1354">
        <f>AE14</f>
        <v>0.13700000000000001</v>
      </c>
      <c r="AF57" s="1352">
        <f>AG14</f>
        <v>4.7750000000000004</v>
      </c>
      <c r="AG57" s="1353" t="s">
        <v>2</v>
      </c>
      <c r="AH57" s="1354">
        <f>AH14</f>
        <v>0.16499999999999998</v>
      </c>
      <c r="AI57" s="1352">
        <f>AJ14</f>
        <v>4.8</v>
      </c>
      <c r="AJ57" s="1353" t="s">
        <v>2</v>
      </c>
      <c r="AK57" s="1354">
        <f>AK14</f>
        <v>0.22499999999999998</v>
      </c>
      <c r="AL57" s="1352">
        <f>AM14</f>
        <v>4.8140000000000001</v>
      </c>
      <c r="AM57" s="1353" t="s">
        <v>2</v>
      </c>
      <c r="AN57" s="1354">
        <f>AN14</f>
        <v>0.21800000000000003</v>
      </c>
      <c r="AO57" s="1352">
        <f>AP14</f>
        <v>4.8630000000000004</v>
      </c>
      <c r="AP57" s="1353" t="s">
        <v>2</v>
      </c>
      <c r="AQ57" s="1354">
        <f>AQ14</f>
        <v>0.21200000000000002</v>
      </c>
      <c r="AR57" s="1352">
        <f>AS14</f>
        <v>4.8449999999999998</v>
      </c>
      <c r="AS57" s="1353" t="s">
        <v>2</v>
      </c>
      <c r="AT57" s="1354">
        <f>AT14</f>
        <v>0.187</v>
      </c>
      <c r="AU57" s="1352">
        <f>AV14</f>
        <v>4.8470000000000004</v>
      </c>
      <c r="AV57" s="1353" t="s">
        <v>2</v>
      </c>
      <c r="AW57" s="1354">
        <f>AW14</f>
        <v>0.224</v>
      </c>
      <c r="AX57" s="1352">
        <f>AY14</f>
        <v>4.8230000000000004</v>
      </c>
      <c r="AY57" s="1353" t="s">
        <v>2</v>
      </c>
      <c r="AZ57" s="1354">
        <f>AZ14</f>
        <v>0.29899999999999999</v>
      </c>
      <c r="BA57" s="1352">
        <f>BB14</f>
        <v>4.9260000000000002</v>
      </c>
      <c r="BB57" s="1353" t="s">
        <v>2</v>
      </c>
      <c r="BC57" s="1354">
        <f>BC14</f>
        <v>0.19400000000000001</v>
      </c>
      <c r="BD57" s="1352">
        <f>BE14</f>
        <v>5.0549999999999997</v>
      </c>
      <c r="BE57" s="1353" t="s">
        <v>2</v>
      </c>
      <c r="BF57" s="1354">
        <f>BF14</f>
        <v>0.189</v>
      </c>
      <c r="BG57" s="1352">
        <f>BH14</f>
        <v>5.0719999999999992</v>
      </c>
      <c r="BH57" s="1353" t="s">
        <v>2</v>
      </c>
      <c r="BI57" s="1354">
        <f>BI14</f>
        <v>0.15299999999999997</v>
      </c>
      <c r="BJ57" s="1352">
        <f>BK14</f>
        <v>5.1260000000000003</v>
      </c>
      <c r="BK57" s="1353" t="s">
        <v>2</v>
      </c>
      <c r="BL57" s="1354">
        <f>BL14</f>
        <v>0.126</v>
      </c>
      <c r="BM57" s="1352">
        <f>BN14</f>
        <v>5.1809999999999992</v>
      </c>
      <c r="BN57" s="1353" t="s">
        <v>2</v>
      </c>
      <c r="BO57" s="1355">
        <f>BO14</f>
        <v>0.128</v>
      </c>
      <c r="BP57" s="1356">
        <f>BQ14</f>
        <v>5.1370000000000005</v>
      </c>
      <c r="BQ57" s="1353" t="s">
        <v>2</v>
      </c>
      <c r="BR57" s="1354">
        <f>BR14</f>
        <v>0.16600000000000001</v>
      </c>
      <c r="BS57" s="1352">
        <f>BT14</f>
        <v>4.8959999999999999</v>
      </c>
      <c r="BT57" s="1353" t="s">
        <v>2</v>
      </c>
      <c r="BU57" s="1355">
        <f>BU14</f>
        <v>0.17200000000000001</v>
      </c>
      <c r="BV57" s="1356">
        <f>BW14</f>
        <v>4.625</v>
      </c>
      <c r="BW57" s="1353" t="s">
        <v>2</v>
      </c>
      <c r="BX57" s="1354">
        <f>BX14</f>
        <v>0.15899999999999997</v>
      </c>
      <c r="BY57" s="1352">
        <f>BZ14</f>
        <v>4.26</v>
      </c>
      <c r="BZ57" s="1353" t="s">
        <v>2</v>
      </c>
      <c r="CA57" s="1355">
        <f>CA14</f>
        <v>0.182</v>
      </c>
    </row>
    <row r="58" spans="1:256" x14ac:dyDescent="0.2">
      <c r="A58" s="1357" t="s">
        <v>20</v>
      </c>
      <c r="B58" s="1358"/>
      <c r="C58" s="1359"/>
      <c r="D58" s="1360"/>
      <c r="E58" s="1125"/>
      <c r="F58" s="1079"/>
      <c r="G58" s="1131"/>
      <c r="H58" s="1347"/>
      <c r="I58" s="1347"/>
      <c r="J58" s="1347"/>
      <c r="K58" s="1361"/>
      <c r="L58" s="1350"/>
      <c r="M58" s="1350"/>
      <c r="N58" s="1361"/>
      <c r="O58" s="1350"/>
      <c r="P58" s="1350"/>
      <c r="Q58" s="1361"/>
      <c r="R58" s="1350"/>
      <c r="S58" s="1350"/>
      <c r="T58" s="1361"/>
      <c r="U58" s="1350"/>
      <c r="V58" s="1350"/>
      <c r="W58" s="1361"/>
      <c r="X58" s="1350"/>
      <c r="Y58" s="1350"/>
      <c r="Z58" s="1361"/>
      <c r="AA58" s="1350"/>
      <c r="AB58" s="1351"/>
      <c r="AC58" s="1347"/>
      <c r="AD58" s="1347"/>
      <c r="AE58" s="1347"/>
      <c r="AF58" s="1361"/>
      <c r="AG58" s="1350"/>
      <c r="AH58" s="1350"/>
      <c r="AI58" s="1361"/>
      <c r="AJ58" s="1350"/>
      <c r="AK58" s="1350"/>
      <c r="AL58" s="1361"/>
      <c r="AM58" s="1350"/>
      <c r="AN58" s="1350"/>
      <c r="AO58" s="1361"/>
      <c r="AP58" s="1350"/>
      <c r="AQ58" s="1350"/>
      <c r="AR58" s="1361"/>
      <c r="AS58" s="1350"/>
      <c r="AT58" s="1350"/>
      <c r="AU58" s="1361"/>
      <c r="AV58" s="1350"/>
      <c r="AW58" s="1350"/>
      <c r="AX58" s="1361"/>
      <c r="AY58" s="1350"/>
      <c r="AZ58" s="1350"/>
      <c r="BA58" s="1361"/>
      <c r="BB58" s="1350"/>
      <c r="BC58" s="1350"/>
      <c r="BD58" s="1361"/>
      <c r="BE58" s="1350"/>
      <c r="BF58" s="1350"/>
      <c r="BG58" s="1361"/>
      <c r="BH58" s="1350"/>
      <c r="BI58" s="1350"/>
      <c r="BJ58" s="1361"/>
      <c r="BK58" s="1350"/>
      <c r="BL58" s="1350"/>
      <c r="BM58" s="1361"/>
      <c r="BN58" s="1350"/>
      <c r="BO58" s="1351"/>
      <c r="BP58" s="1347"/>
      <c r="BQ58" s="1347"/>
      <c r="BR58" s="1347"/>
      <c r="BS58" s="1361"/>
      <c r="BT58" s="1350"/>
      <c r="BU58" s="1351"/>
      <c r="BV58" s="1347"/>
      <c r="BW58" s="1347"/>
      <c r="BX58" s="1347"/>
      <c r="BY58" s="1361"/>
      <c r="BZ58" s="1350"/>
      <c r="CA58" s="1351"/>
    </row>
    <row r="59" spans="1:256" ht="13.5" thickBot="1" x14ac:dyDescent="0.25">
      <c r="A59" s="1362" t="s">
        <v>21</v>
      </c>
      <c r="B59" s="1215"/>
      <c r="C59" s="1363"/>
      <c r="D59" s="1215"/>
      <c r="E59" s="1196"/>
      <c r="F59" s="1215" t="s">
        <v>25</v>
      </c>
      <c r="G59" s="1207"/>
      <c r="H59" s="1364">
        <f>H52+H57</f>
        <v>9.9519999999999982</v>
      </c>
      <c r="I59" s="1365" t="s">
        <v>2</v>
      </c>
      <c r="J59" s="1366">
        <f>J52+J57</f>
        <v>0.28600000000000003</v>
      </c>
      <c r="K59" s="1364">
        <f>K52+K57</f>
        <v>9.3949999999999996</v>
      </c>
      <c r="L59" s="1365" t="s">
        <v>2</v>
      </c>
      <c r="M59" s="1366">
        <f>M52+M57</f>
        <v>0.36399999999999999</v>
      </c>
      <c r="N59" s="1364">
        <f>N52+N57</f>
        <v>9.1189999999999998</v>
      </c>
      <c r="O59" s="1365" t="s">
        <v>2</v>
      </c>
      <c r="P59" s="1366">
        <f>P52+P57</f>
        <v>0.34399999999999997</v>
      </c>
      <c r="Q59" s="1364">
        <f>Q52+Q57</f>
        <v>8.9840000000000018</v>
      </c>
      <c r="R59" s="1365" t="s">
        <v>2</v>
      </c>
      <c r="S59" s="1366">
        <f>S52+S57</f>
        <v>0.31000000000000005</v>
      </c>
      <c r="T59" s="1364">
        <f>T52+T57</f>
        <v>8.9830000000000005</v>
      </c>
      <c r="U59" s="1365" t="s">
        <v>2</v>
      </c>
      <c r="V59" s="1366">
        <f>V52+V57</f>
        <v>0.23399999999999999</v>
      </c>
      <c r="W59" s="1364">
        <f>W52+W57</f>
        <v>9.3439999999999994</v>
      </c>
      <c r="X59" s="1365" t="s">
        <v>2</v>
      </c>
      <c r="Y59" s="1366">
        <f>Y52+Y57</f>
        <v>0.255</v>
      </c>
      <c r="Z59" s="1364">
        <f>Z52+Z57</f>
        <v>10.588000000000001</v>
      </c>
      <c r="AA59" s="1365" t="s">
        <v>2</v>
      </c>
      <c r="AB59" s="1367">
        <f>AB52+AB57</f>
        <v>0.30399999999999999</v>
      </c>
      <c r="AC59" s="1368">
        <f>AC52+AC57</f>
        <v>12.126000000000001</v>
      </c>
      <c r="AD59" s="1365" t="s">
        <v>2</v>
      </c>
      <c r="AE59" s="1366">
        <f>AE52+AE57</f>
        <v>0.36499999999999999</v>
      </c>
      <c r="AF59" s="1364">
        <f>AF52+AF57</f>
        <v>12.863999999999999</v>
      </c>
      <c r="AG59" s="1365" t="s">
        <v>2</v>
      </c>
      <c r="AH59" s="1366">
        <f>AH52+AH57</f>
        <v>0.52499999999999991</v>
      </c>
      <c r="AI59" s="1364">
        <f>AI52+AI57</f>
        <v>13.158999999999999</v>
      </c>
      <c r="AJ59" s="1365" t="s">
        <v>2</v>
      </c>
      <c r="AK59" s="1366">
        <f>AK52+AK57</f>
        <v>0.748</v>
      </c>
      <c r="AL59" s="1364">
        <f>AL52+AL57</f>
        <v>13.295</v>
      </c>
      <c r="AM59" s="1365" t="s">
        <v>2</v>
      </c>
      <c r="AN59" s="1366">
        <f>AN52+AN57</f>
        <v>0.73199999999999998</v>
      </c>
      <c r="AO59" s="1364">
        <f>AO52+AO57</f>
        <v>13.321000000000002</v>
      </c>
      <c r="AP59" s="1365" t="s">
        <v>2</v>
      </c>
      <c r="AQ59" s="1366">
        <f>AQ52+AQ57</f>
        <v>0.78200000000000003</v>
      </c>
      <c r="AR59" s="1364">
        <f>AR52+AR57</f>
        <v>13.259</v>
      </c>
      <c r="AS59" s="1365" t="s">
        <v>2</v>
      </c>
      <c r="AT59" s="1366">
        <f>AT52+AT57</f>
        <v>0.63400000000000001</v>
      </c>
      <c r="AU59" s="1364">
        <f>AU52+AU57</f>
        <v>13.268000000000001</v>
      </c>
      <c r="AV59" s="1365" t="s">
        <v>2</v>
      </c>
      <c r="AW59" s="1366">
        <f>AW52+AW57</f>
        <v>0.79</v>
      </c>
      <c r="AX59" s="1364">
        <f>AX52+AX57</f>
        <v>13.371</v>
      </c>
      <c r="AY59" s="1365" t="s">
        <v>2</v>
      </c>
      <c r="AZ59" s="1366">
        <f>AZ52+AZ57</f>
        <v>0.93100000000000005</v>
      </c>
      <c r="BA59" s="1364">
        <f>BA52+BA57</f>
        <v>13.612</v>
      </c>
      <c r="BB59" s="1365" t="s">
        <v>2</v>
      </c>
      <c r="BC59" s="1366">
        <f>BC52+BC57</f>
        <v>0.66599999999999993</v>
      </c>
      <c r="BD59" s="1364">
        <f>BD52+BD57</f>
        <v>13.843999999999999</v>
      </c>
      <c r="BE59" s="1365" t="s">
        <v>2</v>
      </c>
      <c r="BF59" s="1366">
        <f>BF52+BF57</f>
        <v>0.58000000000000007</v>
      </c>
      <c r="BG59" s="1364">
        <f>BG52+BG57</f>
        <v>13.792999999999999</v>
      </c>
      <c r="BH59" s="1365" t="s">
        <v>2</v>
      </c>
      <c r="BI59" s="1366">
        <f>BI52+BI57</f>
        <v>0.54400000000000004</v>
      </c>
      <c r="BJ59" s="1364">
        <f>BJ52+BJ57</f>
        <v>13.713000000000001</v>
      </c>
      <c r="BK59" s="1365" t="s">
        <v>2</v>
      </c>
      <c r="BL59" s="1366">
        <f>BL52+BL57</f>
        <v>0.38400000000000001</v>
      </c>
      <c r="BM59" s="1364">
        <f>BM52+BM57</f>
        <v>13.665999999999999</v>
      </c>
      <c r="BN59" s="1365" t="s">
        <v>2</v>
      </c>
      <c r="BO59" s="1367">
        <f>BO52+BO57</f>
        <v>0.376</v>
      </c>
      <c r="BP59" s="1368">
        <f>BP52+BP57</f>
        <v>13.353000000000002</v>
      </c>
      <c r="BQ59" s="1365" t="s">
        <v>2</v>
      </c>
      <c r="BR59" s="1366">
        <f>BR52+BR57</f>
        <v>0.40100000000000002</v>
      </c>
      <c r="BS59" s="1364">
        <f>BS52+BS57</f>
        <v>12.716000000000001</v>
      </c>
      <c r="BT59" s="1365" t="s">
        <v>2</v>
      </c>
      <c r="BU59" s="1367">
        <f>BU52+BU57</f>
        <v>0.42900000000000005</v>
      </c>
      <c r="BV59" s="1368">
        <f>BV52+BV57</f>
        <v>11.848000000000001</v>
      </c>
      <c r="BW59" s="1365" t="s">
        <v>2</v>
      </c>
      <c r="BX59" s="1366">
        <f>BX52+BX57</f>
        <v>0.35299999999999998</v>
      </c>
      <c r="BY59" s="1364">
        <f>BY52+BY57</f>
        <v>10.858000000000001</v>
      </c>
      <c r="BZ59" s="1365" t="s">
        <v>2</v>
      </c>
      <c r="CA59" s="1367">
        <f>CA52+CA57</f>
        <v>0.32199999999999995</v>
      </c>
    </row>
    <row r="60" spans="1:256" x14ac:dyDescent="0.2">
      <c r="A60" s="1369"/>
      <c r="B60" s="1369"/>
      <c r="C60" s="1369"/>
      <c r="D60" s="1369"/>
      <c r="E60" s="1369" t="s">
        <v>107</v>
      </c>
      <c r="F60" s="1369"/>
      <c r="G60" s="1369"/>
      <c r="H60" s="1370"/>
      <c r="I60" s="1371">
        <v>0.15840492000155337</v>
      </c>
      <c r="J60" s="1370"/>
      <c r="K60" s="1370"/>
      <c r="L60" s="1371">
        <v>0.15184892576638415</v>
      </c>
      <c r="M60" s="1370"/>
      <c r="N60" s="1370"/>
      <c r="O60" s="1371">
        <v>0.15964377945303496</v>
      </c>
      <c r="P60" s="1370"/>
      <c r="Q60" s="1370"/>
      <c r="R60" s="1371">
        <v>0.15580757220877872</v>
      </c>
      <c r="S60" s="1370"/>
      <c r="T60" s="1370"/>
      <c r="U60" s="1371">
        <v>0.15190359466329809</v>
      </c>
      <c r="V60" s="1370"/>
      <c r="W60" s="1370"/>
      <c r="X60" s="1371">
        <v>0.15434439254219506</v>
      </c>
      <c r="Y60" s="1370"/>
      <c r="Z60" s="1370"/>
      <c r="AA60" s="1371">
        <v>0.1482283199940351</v>
      </c>
      <c r="AB60" s="1370"/>
      <c r="AC60" s="1370"/>
      <c r="AD60" s="1371">
        <v>0.15407725093173083</v>
      </c>
      <c r="AE60" s="1370"/>
      <c r="AF60" s="1370"/>
      <c r="AG60" s="1371">
        <v>0.15933913727600482</v>
      </c>
      <c r="AH60" s="1370"/>
      <c r="AI60" s="1370"/>
      <c r="AJ60" s="1371">
        <v>0.15704878774864259</v>
      </c>
      <c r="AK60" s="1370"/>
      <c r="AL60" s="1370"/>
      <c r="AM60" s="1371">
        <v>0.15771330414388177</v>
      </c>
      <c r="AN60" s="1370"/>
      <c r="AO60" s="1370"/>
      <c r="AP60" s="1371">
        <v>0.15692586188429139</v>
      </c>
      <c r="AQ60" s="1370"/>
      <c r="AR60" s="1370"/>
      <c r="AS60" s="1371">
        <v>0.15201275577469942</v>
      </c>
      <c r="AT60" s="1370"/>
      <c r="AU60" s="1370"/>
      <c r="AV60" s="1371">
        <v>0.15807586835315487</v>
      </c>
      <c r="AW60" s="1370"/>
      <c r="AX60" s="1370"/>
      <c r="AY60" s="1371">
        <v>0.16342660275701557</v>
      </c>
      <c r="AZ60" s="1370"/>
      <c r="BA60" s="1370"/>
      <c r="BB60" s="1371">
        <v>0.1651800782959025</v>
      </c>
      <c r="BC60" s="1370"/>
      <c r="BD60" s="1370"/>
      <c r="BE60" s="1371">
        <v>0.16633477105878586</v>
      </c>
      <c r="BF60" s="1370"/>
      <c r="BG60" s="1370"/>
      <c r="BH60" s="1371">
        <v>0.1614617215640726</v>
      </c>
      <c r="BI60" s="1370"/>
      <c r="BJ60" s="1370"/>
      <c r="BK60" s="1371">
        <v>0.15654114862845211</v>
      </c>
      <c r="BL60" s="1370"/>
      <c r="BM60" s="1370"/>
      <c r="BN60" s="1371">
        <v>0.15333103182974078</v>
      </c>
      <c r="BO60" s="1370"/>
      <c r="BP60" s="1370"/>
      <c r="BQ60" s="1371">
        <v>0.15332792229727302</v>
      </c>
      <c r="BR60" s="1370"/>
      <c r="BS60" s="1370"/>
      <c r="BT60" s="1371">
        <v>0.15576531704728913</v>
      </c>
      <c r="BU60" s="1370"/>
      <c r="BV60" s="1370"/>
      <c r="BW60" s="1371">
        <v>0.15840264787934172</v>
      </c>
      <c r="BX60" s="1370"/>
      <c r="BY60" s="1370"/>
      <c r="BZ60" s="1371">
        <v>0.14979174959398031</v>
      </c>
      <c r="CA60" s="1370"/>
      <c r="CB60" s="1369"/>
      <c r="CC60" s="1369"/>
      <c r="CD60" s="1369"/>
      <c r="CE60" s="1369"/>
      <c r="CF60" s="1369"/>
      <c r="CG60" s="1369"/>
      <c r="CH60" s="1369"/>
      <c r="CI60" s="1369"/>
      <c r="CJ60" s="1369"/>
      <c r="CK60" s="1369"/>
      <c r="CL60" s="1369"/>
      <c r="CM60" s="1369"/>
      <c r="CN60" s="1369"/>
      <c r="CO60" s="1369"/>
      <c r="CP60" s="1369"/>
      <c r="CQ60" s="1369"/>
      <c r="CR60" s="1369"/>
      <c r="CS60" s="1369"/>
      <c r="CT60" s="1369"/>
      <c r="CU60" s="1369"/>
      <c r="CV60" s="1369"/>
      <c r="CW60" s="1369"/>
      <c r="CX60" s="1369"/>
      <c r="CY60" s="1369"/>
      <c r="CZ60" s="1369"/>
      <c r="DA60" s="1369"/>
      <c r="DB60" s="1369"/>
      <c r="DC60" s="1369"/>
      <c r="DD60" s="1369"/>
      <c r="DE60" s="1369"/>
      <c r="DF60" s="1369"/>
      <c r="DG60" s="1369"/>
      <c r="DH60" s="1369"/>
      <c r="DI60" s="1369"/>
      <c r="DJ60" s="1369"/>
      <c r="DK60" s="1369"/>
      <c r="DL60" s="1369"/>
      <c r="DM60" s="1369"/>
      <c r="DN60" s="1369"/>
      <c r="DO60" s="1369"/>
      <c r="DP60" s="1369"/>
      <c r="DQ60" s="1369"/>
      <c r="DR60" s="1369"/>
      <c r="DS60" s="1369"/>
      <c r="DT60" s="1369"/>
      <c r="DU60" s="1369"/>
      <c r="DV60" s="1369"/>
      <c r="DW60" s="1369"/>
      <c r="DX60" s="1369"/>
      <c r="DY60" s="1369"/>
      <c r="DZ60" s="1369"/>
      <c r="EA60" s="1369"/>
      <c r="EB60" s="1369"/>
      <c r="EC60" s="1369"/>
      <c r="ED60" s="1369"/>
      <c r="EE60" s="1369"/>
      <c r="EF60" s="1369"/>
      <c r="EG60" s="1369"/>
      <c r="EH60" s="1369"/>
      <c r="EI60" s="1369"/>
      <c r="EJ60" s="1369"/>
      <c r="EK60" s="1369"/>
      <c r="EL60" s="1369"/>
      <c r="EM60" s="1369"/>
      <c r="EN60" s="1369"/>
      <c r="EO60" s="1369"/>
      <c r="EP60" s="1369"/>
      <c r="EQ60" s="1369"/>
      <c r="ER60" s="1369"/>
      <c r="ES60" s="1369"/>
      <c r="ET60" s="1369"/>
      <c r="EU60" s="1369"/>
      <c r="EV60" s="1369"/>
      <c r="EW60" s="1369"/>
      <c r="EX60" s="1369"/>
      <c r="EY60" s="1369"/>
      <c r="EZ60" s="1369"/>
      <c r="FA60" s="1369"/>
      <c r="FB60" s="1369"/>
      <c r="FC60" s="1369"/>
      <c r="FD60" s="1369"/>
      <c r="FE60" s="1369"/>
      <c r="FF60" s="1369"/>
      <c r="FG60" s="1369"/>
      <c r="FH60" s="1369"/>
      <c r="FI60" s="1369"/>
      <c r="FJ60" s="1369"/>
      <c r="FK60" s="1369"/>
      <c r="FL60" s="1369"/>
      <c r="FM60" s="1369"/>
      <c r="FN60" s="1369"/>
      <c r="FO60" s="1369"/>
      <c r="FP60" s="1369"/>
      <c r="FQ60" s="1369"/>
      <c r="FR60" s="1369"/>
      <c r="FS60" s="1369"/>
      <c r="FT60" s="1369"/>
      <c r="FU60" s="1369"/>
      <c r="FV60" s="1369"/>
      <c r="FW60" s="1369"/>
      <c r="FX60" s="1369"/>
      <c r="FY60" s="1369"/>
      <c r="FZ60" s="1369"/>
      <c r="GA60" s="1369"/>
      <c r="GB60" s="1369"/>
      <c r="GC60" s="1369"/>
      <c r="GD60" s="1369"/>
      <c r="GE60" s="1369"/>
      <c r="GF60" s="1369"/>
      <c r="GG60" s="1369"/>
      <c r="GH60" s="1369"/>
      <c r="GI60" s="1369"/>
      <c r="GJ60" s="1369"/>
      <c r="GK60" s="1369"/>
      <c r="GL60" s="1369"/>
      <c r="GM60" s="1369"/>
      <c r="GN60" s="1369"/>
      <c r="GO60" s="1369"/>
      <c r="GP60" s="1369"/>
      <c r="GQ60" s="1369"/>
      <c r="GR60" s="1369"/>
      <c r="GS60" s="1369"/>
      <c r="GT60" s="1369"/>
      <c r="GU60" s="1369"/>
      <c r="GV60" s="1369"/>
      <c r="GW60" s="1369"/>
      <c r="GX60" s="1369"/>
      <c r="GY60" s="1369"/>
      <c r="GZ60" s="1369"/>
      <c r="HA60" s="1369"/>
      <c r="HB60" s="1369"/>
      <c r="HC60" s="1369"/>
      <c r="HD60" s="1369"/>
      <c r="HE60" s="1369"/>
      <c r="HF60" s="1369"/>
      <c r="HG60" s="1369"/>
      <c r="HH60" s="1369"/>
      <c r="HI60" s="1369"/>
      <c r="HJ60" s="1369"/>
      <c r="HK60" s="1369"/>
      <c r="HL60" s="1369"/>
      <c r="HM60" s="1369"/>
      <c r="HN60" s="1369"/>
      <c r="HO60" s="1369"/>
      <c r="HP60" s="1369"/>
      <c r="HQ60" s="1369"/>
      <c r="HR60" s="1369"/>
      <c r="HS60" s="1369"/>
      <c r="HT60" s="1369"/>
      <c r="HU60" s="1369"/>
      <c r="HV60" s="1369"/>
      <c r="HW60" s="1369"/>
      <c r="HX60" s="1369"/>
      <c r="HY60" s="1369"/>
      <c r="HZ60" s="1369"/>
      <c r="IA60" s="1369"/>
      <c r="IB60" s="1369"/>
      <c r="IC60" s="1369"/>
      <c r="ID60" s="1369"/>
      <c r="IE60" s="1369"/>
      <c r="IF60" s="1369"/>
      <c r="IG60" s="1369"/>
      <c r="IH60" s="1369"/>
      <c r="II60" s="1369"/>
      <c r="IJ60" s="1369"/>
      <c r="IK60" s="1369"/>
      <c r="IL60" s="1369"/>
      <c r="IM60" s="1369"/>
      <c r="IN60" s="1369"/>
      <c r="IO60" s="1369"/>
      <c r="IP60" s="1369"/>
      <c r="IQ60" s="1369"/>
      <c r="IR60" s="1369"/>
      <c r="IS60" s="1369"/>
      <c r="IT60" s="1369"/>
      <c r="IU60" s="1369"/>
      <c r="IV60" s="1369"/>
    </row>
    <row r="61" spans="1:256" ht="15" x14ac:dyDescent="0.25">
      <c r="B61" s="2409" t="s">
        <v>306</v>
      </c>
      <c r="C61" s="2409"/>
      <c r="D61" s="2409"/>
      <c r="E61" s="2409"/>
      <c r="F61" s="2409"/>
      <c r="T61" s="1372"/>
      <c r="U61" s="1373"/>
    </row>
    <row r="62" spans="1:256" x14ac:dyDescent="0.2">
      <c r="T62" s="1372"/>
      <c r="U62" s="1373"/>
    </row>
  </sheetData>
  <mergeCells count="8">
    <mergeCell ref="B57:G57"/>
    <mergeCell ref="B61:F61"/>
    <mergeCell ref="P1:T1"/>
    <mergeCell ref="K3:M3"/>
    <mergeCell ref="BZ3:CA3"/>
    <mergeCell ref="E22:F22"/>
    <mergeCell ref="E23:F23"/>
    <mergeCell ref="B52:G5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workbookViewId="0">
      <selection sqref="A1:IV65536"/>
    </sheetView>
  </sheetViews>
  <sheetFormatPr defaultRowHeight="12.75" x14ac:dyDescent="0.2"/>
  <cols>
    <col min="1" max="1" width="4.42578125" style="468" customWidth="1"/>
    <col min="2" max="2" width="8.140625" style="468" customWidth="1"/>
    <col min="3" max="3" width="10.140625" style="468" customWidth="1"/>
    <col min="4" max="4" width="7.28515625" style="468" customWidth="1"/>
    <col min="5" max="5" width="4.28515625" style="468" customWidth="1"/>
    <col min="6" max="6" width="5.140625" style="468" customWidth="1"/>
    <col min="7" max="7" width="5.5703125" style="468" customWidth="1"/>
    <col min="8" max="8" width="8.28515625" style="468" customWidth="1"/>
    <col min="9" max="9" width="8.140625" style="468" customWidth="1"/>
    <col min="10" max="14" width="8.28515625" style="468" customWidth="1"/>
    <col min="15" max="15" width="7.28515625" style="468" customWidth="1"/>
    <col min="16" max="16" width="7.85546875" style="468" customWidth="1"/>
    <col min="17" max="17" width="8.28515625" style="468" customWidth="1"/>
    <col min="18" max="19" width="7.28515625" style="468" customWidth="1"/>
    <col min="20" max="79" width="8.42578125" style="468" customWidth="1"/>
    <col min="80" max="80" width="9.140625" style="468" customWidth="1"/>
    <col min="81" max="256" width="9.140625" style="468"/>
  </cols>
  <sheetData>
    <row r="1" spans="1:256" ht="14.25" x14ac:dyDescent="0.2">
      <c r="H1" s="1520"/>
      <c r="I1" s="1075"/>
      <c r="J1" s="1075"/>
      <c r="K1" s="1075"/>
      <c r="L1" s="1075"/>
      <c r="M1" s="1075"/>
      <c r="N1" s="1075"/>
      <c r="O1" s="1075"/>
      <c r="P1" s="2410" t="s">
        <v>284</v>
      </c>
      <c r="Q1" s="2410"/>
      <c r="R1" s="2410"/>
      <c r="S1" s="2410"/>
      <c r="T1" s="2410"/>
      <c r="U1" s="1075"/>
      <c r="V1" s="1521"/>
      <c r="W1" s="1520"/>
      <c r="X1" s="1521"/>
      <c r="Y1" s="1521"/>
      <c r="Z1" s="1520"/>
      <c r="AA1" s="1521"/>
      <c r="AB1" s="1521"/>
      <c r="AC1" s="1520"/>
      <c r="AD1" s="1521"/>
      <c r="AE1" s="1521"/>
      <c r="AF1" s="1520"/>
      <c r="AG1" s="1521"/>
      <c r="AH1" s="1521"/>
      <c r="AI1" s="1520"/>
      <c r="AJ1" s="1521"/>
      <c r="AK1" s="1521"/>
      <c r="AL1" s="1520"/>
      <c r="AM1" s="1521"/>
      <c r="AN1" s="1521"/>
      <c r="AO1" s="1520"/>
      <c r="AP1" s="1521"/>
      <c r="AQ1" s="1521"/>
      <c r="AR1" s="1520"/>
      <c r="AS1" s="1521"/>
      <c r="AT1" s="1521"/>
      <c r="AU1" s="1520"/>
      <c r="AV1" s="1521"/>
      <c r="AW1" s="1521"/>
      <c r="AX1" s="1520"/>
      <c r="AY1" s="1521"/>
      <c r="AZ1" s="1521"/>
      <c r="BA1" s="1520"/>
      <c r="BB1" s="1521"/>
      <c r="BC1" s="1521"/>
      <c r="BD1" s="1520"/>
      <c r="BE1" s="1521"/>
      <c r="BF1" s="1521"/>
      <c r="BG1" s="1520"/>
      <c r="BH1" s="1521"/>
      <c r="BI1" s="1521"/>
      <c r="BJ1" s="1520"/>
      <c r="BK1" s="1521"/>
      <c r="BL1" s="1521"/>
      <c r="BM1" s="1520"/>
      <c r="BN1" s="1521"/>
      <c r="BO1" s="1521"/>
      <c r="BP1" s="1520"/>
      <c r="BQ1" s="1521"/>
      <c r="BR1" s="1521"/>
      <c r="BS1" s="1520"/>
      <c r="BT1" s="1521"/>
      <c r="BU1" s="1521"/>
      <c r="BV1" s="1520"/>
      <c r="BW1" s="1521"/>
      <c r="BX1" s="1521"/>
      <c r="BY1" s="1520"/>
      <c r="BZ1" s="1521"/>
      <c r="CA1" s="1521"/>
    </row>
    <row r="2" spans="1:256" ht="18" x14ac:dyDescent="0.25">
      <c r="C2" s="1522" t="s">
        <v>61</v>
      </c>
      <c r="D2" s="492"/>
      <c r="H2" s="1520"/>
      <c r="I2" s="1521"/>
      <c r="J2" s="1521"/>
      <c r="K2" s="1520"/>
      <c r="L2" s="1521"/>
      <c r="M2" s="1521"/>
      <c r="N2" s="1520"/>
      <c r="O2" s="1521"/>
      <c r="P2" s="1521"/>
      <c r="Q2" s="1520"/>
      <c r="R2" s="1521"/>
      <c r="S2" s="1521"/>
      <c r="T2" s="1520"/>
      <c r="U2" s="1521"/>
      <c r="V2" s="1521"/>
      <c r="W2" s="1520"/>
      <c r="X2" s="1521"/>
      <c r="Y2" s="1521"/>
      <c r="Z2" s="1520"/>
      <c r="AA2" s="1521"/>
      <c r="AB2" s="1521"/>
      <c r="AC2" s="1520"/>
      <c r="AD2" s="1521"/>
      <c r="AE2" s="1521"/>
      <c r="AF2" s="1520"/>
      <c r="AG2" s="1521"/>
      <c r="AH2" s="1521"/>
      <c r="AI2" s="1520"/>
      <c r="AJ2" s="1521"/>
      <c r="AK2" s="1521"/>
      <c r="AL2" s="1520"/>
      <c r="AM2" s="1523"/>
      <c r="AN2" s="1523"/>
      <c r="AO2" s="1520"/>
      <c r="AP2" s="1523"/>
      <c r="AQ2" s="1523"/>
      <c r="AR2" s="1520"/>
      <c r="AS2" s="1523"/>
      <c r="AT2" s="1523"/>
      <c r="AU2" s="1520"/>
      <c r="AV2" s="1523"/>
      <c r="AW2" s="1523"/>
      <c r="AX2" s="1520"/>
      <c r="AY2" s="1523"/>
      <c r="AZ2" s="1523"/>
      <c r="BA2" s="1520"/>
      <c r="BB2" s="1521"/>
      <c r="BC2" s="1521"/>
      <c r="BD2" s="1520"/>
      <c r="BE2" s="1521"/>
      <c r="BF2" s="1521"/>
      <c r="BG2" s="1520"/>
      <c r="BH2" s="1521"/>
      <c r="BI2" s="1521"/>
      <c r="BJ2" s="1520"/>
      <c r="BK2" s="1521"/>
      <c r="BL2" s="1521"/>
      <c r="BM2" s="1520"/>
      <c r="BN2" s="1521"/>
      <c r="BO2" s="1521"/>
      <c r="BP2" s="1520"/>
      <c r="BQ2" s="1521"/>
      <c r="BR2" s="1521"/>
      <c r="BS2" s="1520"/>
      <c r="BT2" s="1521"/>
      <c r="BU2" s="1521"/>
      <c r="BV2" s="1520"/>
      <c r="BW2" s="1521"/>
      <c r="BX2" s="1521"/>
      <c r="BY2" s="1520"/>
      <c r="BZ2" s="1521"/>
      <c r="CA2" s="1521"/>
    </row>
    <row r="3" spans="1:256" ht="14.25" x14ac:dyDescent="0.2">
      <c r="C3" s="386"/>
      <c r="D3" s="1524"/>
      <c r="E3" s="1524"/>
      <c r="F3" s="1524"/>
      <c r="H3" s="1520"/>
      <c r="I3" s="1525"/>
      <c r="J3" s="1526"/>
      <c r="K3" s="1520"/>
      <c r="L3" s="1525"/>
      <c r="M3" s="1526"/>
      <c r="N3" s="1520"/>
      <c r="O3" s="1525"/>
      <c r="P3" s="1526"/>
      <c r="Q3" s="1520"/>
      <c r="R3" s="1525"/>
      <c r="S3" s="1526"/>
      <c r="T3" s="1520"/>
      <c r="U3" s="1525"/>
      <c r="V3" s="1526"/>
      <c r="W3" s="1520"/>
      <c r="X3" s="1525"/>
      <c r="Y3" s="1526"/>
      <c r="Z3" s="1520"/>
      <c r="AA3" s="1525"/>
      <c r="AB3" s="1526"/>
      <c r="AC3" s="1520"/>
      <c r="AD3" s="1525"/>
      <c r="AE3" s="1526"/>
      <c r="AF3" s="1520"/>
      <c r="AG3" s="1525"/>
      <c r="AH3" s="1526"/>
      <c r="AI3" s="1520"/>
      <c r="AJ3" s="1525"/>
      <c r="AK3" s="1526"/>
      <c r="AL3" s="1520"/>
      <c r="AM3" s="1521"/>
      <c r="AN3" s="1521"/>
      <c r="AO3" s="1520"/>
      <c r="AP3" s="1521"/>
      <c r="AQ3" s="1521"/>
      <c r="AR3" s="1520"/>
      <c r="AS3" s="1521"/>
      <c r="AT3" s="1521"/>
      <c r="AU3" s="1520"/>
      <c r="AV3" s="1521"/>
      <c r="AW3" s="1521"/>
      <c r="AX3" s="1520"/>
      <c r="AY3" s="1521"/>
      <c r="AZ3" s="1521"/>
      <c r="BA3" s="1520"/>
      <c r="BB3" s="1521"/>
      <c r="BC3" s="1521"/>
      <c r="BD3" s="1520"/>
      <c r="BE3" s="1521"/>
      <c r="BF3" s="1521"/>
      <c r="BG3" s="1520"/>
      <c r="BH3" s="1521"/>
      <c r="BI3" s="1521"/>
      <c r="BJ3" s="1520"/>
      <c r="BK3" s="1521"/>
      <c r="BL3" s="1521"/>
      <c r="BM3" s="1520"/>
      <c r="BN3" s="1521"/>
      <c r="BO3" s="1521"/>
      <c r="BP3" s="1520"/>
      <c r="BQ3" s="1521"/>
      <c r="BR3" s="1521"/>
      <c r="BS3" s="1520"/>
      <c r="BT3" s="1521"/>
      <c r="BU3" s="1521"/>
      <c r="BV3" s="1520"/>
      <c r="BW3" s="1521"/>
      <c r="BX3" s="1521"/>
      <c r="BY3" s="1520"/>
      <c r="BZ3" s="1521"/>
      <c r="CA3" s="1521"/>
    </row>
    <row r="4" spans="1:256" ht="18.75" thickBot="1" x14ac:dyDescent="0.3">
      <c r="B4" s="470"/>
      <c r="C4" s="1527" t="s">
        <v>11</v>
      </c>
      <c r="D4" s="1527"/>
      <c r="E4" s="1527"/>
      <c r="F4" s="1528"/>
      <c r="G4" s="1527"/>
      <c r="H4" s="1527"/>
      <c r="K4" s="2419" t="s">
        <v>379</v>
      </c>
      <c r="L4" s="2419"/>
      <c r="M4" s="2419"/>
      <c r="N4" s="1529"/>
      <c r="O4" s="470"/>
      <c r="P4" s="470"/>
      <c r="BY4" s="468" t="s">
        <v>3</v>
      </c>
      <c r="BZ4" s="2420">
        <f>'[3]Приложение 2_Авангард'!BZ3:CA3</f>
        <v>45644</v>
      </c>
      <c r="CA4" s="2420"/>
      <c r="CB4" s="1530"/>
      <c r="CC4" s="1530"/>
      <c r="CD4" s="1530"/>
      <c r="CE4" s="1530"/>
      <c r="CF4" s="1530"/>
      <c r="CG4" s="1530"/>
      <c r="CH4" s="1530"/>
      <c r="CI4" s="1530"/>
      <c r="CJ4" s="1530"/>
      <c r="CK4" s="1530"/>
      <c r="CL4" s="1530"/>
      <c r="CM4" s="1530"/>
      <c r="CN4" s="1530"/>
      <c r="CO4" s="1530"/>
      <c r="CP4" s="1530"/>
      <c r="CQ4" s="1530"/>
      <c r="CR4" s="1530"/>
      <c r="CS4" s="1530"/>
      <c r="CT4" s="1530"/>
      <c r="CU4" s="1530"/>
      <c r="CV4" s="1530"/>
      <c r="CW4" s="1530"/>
      <c r="CX4" s="1530"/>
      <c r="CY4" s="1530"/>
      <c r="CZ4" s="1530"/>
      <c r="DA4" s="1530"/>
      <c r="DB4" s="1530"/>
      <c r="DC4" s="1530"/>
      <c r="DD4" s="1530"/>
      <c r="DE4" s="1530"/>
      <c r="DF4" s="1530"/>
      <c r="DG4" s="1530"/>
      <c r="DH4" s="1530"/>
      <c r="DI4" s="1530"/>
      <c r="DJ4" s="1530"/>
      <c r="DK4" s="1530"/>
      <c r="DL4" s="1530"/>
      <c r="DM4" s="1530"/>
      <c r="DN4" s="1530"/>
      <c r="DO4" s="1530"/>
      <c r="DP4" s="1530"/>
      <c r="DQ4" s="1530"/>
      <c r="DR4" s="1530"/>
      <c r="DS4" s="1530"/>
      <c r="DT4" s="1530"/>
      <c r="DU4" s="1530"/>
      <c r="DV4" s="1530"/>
      <c r="DW4" s="1530"/>
      <c r="DX4" s="1530"/>
      <c r="DY4" s="1530"/>
      <c r="DZ4" s="1530"/>
      <c r="EA4" s="1530"/>
      <c r="EB4" s="1530"/>
      <c r="EC4" s="1530"/>
      <c r="ED4" s="1530"/>
      <c r="EE4" s="1530"/>
      <c r="EF4" s="1530"/>
      <c r="EG4" s="1530"/>
      <c r="EH4" s="1530"/>
      <c r="EI4" s="1530"/>
      <c r="EJ4" s="1530"/>
      <c r="EK4" s="1530"/>
      <c r="EL4" s="1530"/>
      <c r="EM4" s="1530"/>
      <c r="EN4" s="1530"/>
      <c r="EO4" s="1530"/>
      <c r="EP4" s="1530"/>
      <c r="EQ4" s="1530"/>
      <c r="ER4" s="1530"/>
      <c r="ES4" s="1530"/>
      <c r="ET4" s="1530"/>
      <c r="EU4" s="1530"/>
      <c r="EV4" s="1530"/>
      <c r="EW4" s="1530"/>
      <c r="EX4" s="1530"/>
      <c r="EY4" s="1530"/>
      <c r="EZ4" s="1530"/>
      <c r="FA4" s="1530"/>
      <c r="FB4" s="1530"/>
      <c r="FC4" s="1530"/>
      <c r="FD4" s="1530"/>
      <c r="FE4" s="1530"/>
      <c r="FF4" s="1530"/>
      <c r="FG4" s="1530"/>
      <c r="FH4" s="1530"/>
      <c r="FI4" s="1530"/>
      <c r="FJ4" s="1530"/>
      <c r="FK4" s="1530"/>
      <c r="FL4" s="1530"/>
      <c r="FM4" s="1530"/>
      <c r="FN4" s="1530"/>
      <c r="FO4" s="1530"/>
      <c r="FP4" s="1530"/>
      <c r="FQ4" s="1530"/>
      <c r="FR4" s="1530"/>
      <c r="FS4" s="1530"/>
      <c r="FT4" s="1530"/>
      <c r="FU4" s="1530"/>
      <c r="FV4" s="1530"/>
      <c r="FW4" s="1530"/>
      <c r="FX4" s="1530"/>
      <c r="FY4" s="1530"/>
      <c r="FZ4" s="1530"/>
      <c r="GA4" s="1530"/>
      <c r="GB4" s="1530"/>
      <c r="GC4" s="1530"/>
      <c r="GD4" s="1530"/>
      <c r="GE4" s="1530"/>
      <c r="GF4" s="1530"/>
      <c r="GG4" s="1530"/>
      <c r="GH4" s="1530"/>
      <c r="GI4" s="1530"/>
      <c r="GJ4" s="1530"/>
      <c r="GK4" s="1530"/>
      <c r="GL4" s="1530"/>
      <c r="GM4" s="1530"/>
      <c r="GN4" s="1530"/>
      <c r="GO4" s="1530"/>
      <c r="GP4" s="1530"/>
      <c r="GQ4" s="1530"/>
      <c r="GR4" s="1530"/>
      <c r="GS4" s="1530"/>
      <c r="GT4" s="1530"/>
      <c r="GU4" s="1530"/>
      <c r="GV4" s="1530"/>
      <c r="GW4" s="1530"/>
      <c r="GX4" s="1530"/>
      <c r="GY4" s="1530"/>
      <c r="GZ4" s="1530"/>
      <c r="HA4" s="1530"/>
      <c r="HB4" s="1530"/>
      <c r="HC4" s="1530"/>
      <c r="HD4" s="1530"/>
      <c r="HE4" s="1530"/>
      <c r="HF4" s="1530"/>
      <c r="HG4" s="1530"/>
      <c r="HH4" s="1530"/>
      <c r="HI4" s="1530"/>
      <c r="HJ4" s="1530"/>
      <c r="HK4" s="1530"/>
      <c r="HL4" s="1530"/>
      <c r="HM4" s="1530"/>
      <c r="HN4" s="1530"/>
      <c r="HO4" s="1530"/>
      <c r="HP4" s="1530"/>
      <c r="HQ4" s="1530"/>
      <c r="HR4" s="1530"/>
      <c r="HS4" s="1530"/>
      <c r="HT4" s="1530"/>
      <c r="HU4" s="1530"/>
      <c r="HV4" s="1530"/>
      <c r="HW4" s="1530"/>
      <c r="HX4" s="1530"/>
      <c r="HY4" s="1530"/>
      <c r="HZ4" s="1530"/>
      <c r="IA4" s="1530"/>
      <c r="IB4" s="1530"/>
      <c r="IC4" s="1530"/>
      <c r="ID4" s="1530"/>
      <c r="IE4" s="1530"/>
      <c r="IF4" s="1530"/>
      <c r="IG4" s="1530"/>
      <c r="IH4" s="1530"/>
      <c r="II4" s="1530"/>
      <c r="IJ4" s="1530"/>
      <c r="IK4" s="1530"/>
      <c r="IL4" s="1530"/>
      <c r="IM4" s="1530"/>
      <c r="IN4" s="1530"/>
      <c r="IO4" s="1530"/>
      <c r="IP4" s="1530"/>
      <c r="IQ4" s="1530"/>
      <c r="IR4" s="1530"/>
      <c r="IS4" s="1530"/>
      <c r="IT4" s="1530"/>
      <c r="IU4" s="1530"/>
      <c r="IV4" s="1530"/>
    </row>
    <row r="5" spans="1:256" ht="13.5" thickBot="1" x14ac:dyDescent="0.25">
      <c r="B5" s="470"/>
      <c r="C5" s="470"/>
      <c r="D5" s="470"/>
      <c r="E5" s="470"/>
      <c r="F5" s="470"/>
      <c r="G5" s="470"/>
      <c r="H5" s="470"/>
      <c r="I5" s="470"/>
      <c r="J5" s="470"/>
      <c r="K5" s="1531"/>
      <c r="L5" s="470"/>
      <c r="M5" s="470"/>
      <c r="CB5" s="1530"/>
      <c r="CC5" s="1530"/>
      <c r="CD5" s="1530"/>
      <c r="CE5" s="1530"/>
      <c r="CF5" s="1530"/>
      <c r="CG5" s="1530"/>
      <c r="CH5" s="1530"/>
      <c r="CI5" s="1530"/>
      <c r="CJ5" s="1530"/>
      <c r="CK5" s="1530"/>
      <c r="CL5" s="1530"/>
      <c r="CM5" s="1530"/>
      <c r="CN5" s="1530"/>
      <c r="CO5" s="1530"/>
      <c r="CP5" s="1530"/>
      <c r="CQ5" s="1530"/>
      <c r="CR5" s="1530"/>
      <c r="CS5" s="1530"/>
      <c r="CT5" s="1530"/>
      <c r="CU5" s="1530"/>
      <c r="CV5" s="1530"/>
      <c r="CW5" s="1530"/>
      <c r="CX5" s="1530"/>
      <c r="CY5" s="1530"/>
      <c r="CZ5" s="1530"/>
      <c r="DA5" s="1530"/>
      <c r="DB5" s="1530"/>
      <c r="DC5" s="1530"/>
      <c r="DD5" s="1530"/>
      <c r="DE5" s="1530"/>
      <c r="DF5" s="1530"/>
      <c r="DG5" s="1530"/>
      <c r="DH5" s="1530"/>
      <c r="DI5" s="1530"/>
      <c r="DJ5" s="1530"/>
      <c r="DK5" s="1530"/>
      <c r="DL5" s="1530"/>
      <c r="DM5" s="1530"/>
      <c r="DN5" s="1530"/>
      <c r="DO5" s="1530"/>
      <c r="DP5" s="1530"/>
      <c r="DQ5" s="1530"/>
      <c r="DR5" s="1530"/>
      <c r="DS5" s="1530"/>
      <c r="DT5" s="1530"/>
      <c r="DU5" s="1530"/>
      <c r="DV5" s="1530"/>
      <c r="DW5" s="1530"/>
      <c r="DX5" s="1530"/>
      <c r="DY5" s="1530"/>
      <c r="DZ5" s="1530"/>
      <c r="EA5" s="1530"/>
      <c r="EB5" s="1530"/>
      <c r="EC5" s="1530"/>
      <c r="ED5" s="1530"/>
      <c r="EE5" s="1530"/>
      <c r="EF5" s="1530"/>
      <c r="EG5" s="1530"/>
      <c r="EH5" s="1530"/>
      <c r="EI5" s="1530"/>
      <c r="EJ5" s="1530"/>
      <c r="EK5" s="1530"/>
      <c r="EL5" s="1530"/>
      <c r="EM5" s="1530"/>
      <c r="EN5" s="1530"/>
      <c r="EO5" s="1530"/>
      <c r="EP5" s="1530"/>
      <c r="EQ5" s="1530"/>
      <c r="ER5" s="1530"/>
      <c r="ES5" s="1530"/>
      <c r="ET5" s="1530"/>
      <c r="EU5" s="1530"/>
      <c r="EV5" s="1530"/>
      <c r="EW5" s="1530"/>
      <c r="EX5" s="1530"/>
      <c r="EY5" s="1530"/>
      <c r="EZ5" s="1530"/>
      <c r="FA5" s="1530"/>
      <c r="FB5" s="1530"/>
      <c r="FC5" s="1530"/>
      <c r="FD5" s="1530"/>
      <c r="FE5" s="1530"/>
      <c r="FF5" s="1530"/>
      <c r="FG5" s="1530"/>
      <c r="FH5" s="1530"/>
      <c r="FI5" s="1530"/>
      <c r="FJ5" s="1530"/>
      <c r="FK5" s="1530"/>
      <c r="FL5" s="1530"/>
      <c r="FM5" s="1530"/>
      <c r="FN5" s="1530"/>
      <c r="FO5" s="1530"/>
      <c r="FP5" s="1530"/>
      <c r="FQ5" s="1530"/>
      <c r="FR5" s="1530"/>
      <c r="FS5" s="1530"/>
      <c r="FT5" s="1530"/>
      <c r="FU5" s="1530"/>
      <c r="FV5" s="1530"/>
      <c r="FW5" s="1530"/>
      <c r="FX5" s="1530"/>
      <c r="FY5" s="1530"/>
      <c r="FZ5" s="1530"/>
      <c r="GA5" s="1530"/>
      <c r="GB5" s="1530"/>
      <c r="GC5" s="1530"/>
      <c r="GD5" s="1530"/>
      <c r="GE5" s="1530"/>
      <c r="GF5" s="1530"/>
      <c r="GG5" s="1530"/>
      <c r="GH5" s="1530"/>
      <c r="GI5" s="1530"/>
      <c r="GJ5" s="1530"/>
      <c r="GK5" s="1530"/>
      <c r="GL5" s="1530"/>
      <c r="GM5" s="1530"/>
      <c r="GN5" s="1530"/>
      <c r="GO5" s="1530"/>
      <c r="GP5" s="1530"/>
      <c r="GQ5" s="1530"/>
      <c r="GR5" s="1530"/>
      <c r="GS5" s="1530"/>
      <c r="GT5" s="1530"/>
      <c r="GU5" s="1530"/>
      <c r="GV5" s="1530"/>
      <c r="GW5" s="1530"/>
      <c r="GX5" s="1530"/>
      <c r="GY5" s="1530"/>
      <c r="GZ5" s="1530"/>
      <c r="HA5" s="1530"/>
      <c r="HB5" s="1530"/>
      <c r="HC5" s="1530"/>
      <c r="HD5" s="1530"/>
      <c r="HE5" s="1530"/>
      <c r="HF5" s="1530"/>
      <c r="HG5" s="1530"/>
      <c r="HH5" s="1530"/>
      <c r="HI5" s="1530"/>
      <c r="HJ5" s="1530"/>
      <c r="HK5" s="1530"/>
      <c r="HL5" s="1530"/>
      <c r="HM5" s="1530"/>
      <c r="HN5" s="1530"/>
      <c r="HO5" s="1530"/>
      <c r="HP5" s="1530"/>
      <c r="HQ5" s="1530"/>
      <c r="HR5" s="1530"/>
      <c r="HS5" s="1530"/>
      <c r="HT5" s="1530"/>
      <c r="HU5" s="1530"/>
      <c r="HV5" s="1530"/>
      <c r="HW5" s="1530"/>
      <c r="HX5" s="1530"/>
      <c r="HY5" s="1530"/>
      <c r="HZ5" s="1530"/>
      <c r="IA5" s="1530"/>
      <c r="IB5" s="1530"/>
      <c r="IC5" s="1530"/>
      <c r="ID5" s="1530"/>
      <c r="IE5" s="1530"/>
      <c r="IF5" s="1530"/>
      <c r="IG5" s="1530"/>
      <c r="IH5" s="1530"/>
      <c r="II5" s="1530"/>
      <c r="IJ5" s="1530"/>
      <c r="IK5" s="1530"/>
      <c r="IL5" s="1530"/>
      <c r="IM5" s="1530"/>
      <c r="IN5" s="1530"/>
      <c r="IO5" s="1530"/>
      <c r="IP5" s="1530"/>
      <c r="IQ5" s="1530"/>
      <c r="IR5" s="1530"/>
      <c r="IS5" s="1530"/>
      <c r="IT5" s="1530"/>
      <c r="IU5" s="1530"/>
      <c r="IV5" s="1530"/>
    </row>
    <row r="6" spans="1:256" ht="13.5" thickBot="1" x14ac:dyDescent="0.25">
      <c r="A6" s="1532" t="s">
        <v>12</v>
      </c>
      <c r="B6" s="1533"/>
      <c r="C6" s="1533"/>
      <c r="D6" s="1534"/>
      <c r="E6" s="1534"/>
      <c r="F6" s="1535"/>
      <c r="G6" s="1536"/>
      <c r="H6" s="1374"/>
      <c r="I6" s="1375">
        <v>1</v>
      </c>
      <c r="J6" s="1376" t="s">
        <v>287</v>
      </c>
      <c r="K6" s="1377"/>
      <c r="L6" s="1378">
        <v>2</v>
      </c>
      <c r="M6" s="1379" t="s">
        <v>287</v>
      </c>
      <c r="N6" s="1374"/>
      <c r="O6" s="1375">
        <v>3</v>
      </c>
      <c r="P6" s="1376" t="s">
        <v>287</v>
      </c>
      <c r="Q6" s="1374"/>
      <c r="R6" s="1375">
        <v>4</v>
      </c>
      <c r="S6" s="1376" t="s">
        <v>287</v>
      </c>
      <c r="T6" s="1374"/>
      <c r="U6" s="1375">
        <v>5</v>
      </c>
      <c r="V6" s="1376" t="s">
        <v>287</v>
      </c>
      <c r="W6" s="1374"/>
      <c r="X6" s="1375">
        <v>6</v>
      </c>
      <c r="Y6" s="1376" t="s">
        <v>287</v>
      </c>
      <c r="Z6" s="1374"/>
      <c r="AA6" s="1375">
        <v>7</v>
      </c>
      <c r="AB6" s="1376" t="s">
        <v>287</v>
      </c>
      <c r="AC6" s="1374"/>
      <c r="AD6" s="1375">
        <v>8</v>
      </c>
      <c r="AE6" s="1376" t="s">
        <v>287</v>
      </c>
      <c r="AF6" s="1374"/>
      <c r="AG6" s="1375">
        <v>9</v>
      </c>
      <c r="AH6" s="1376" t="s">
        <v>287</v>
      </c>
      <c r="AI6" s="1374"/>
      <c r="AJ6" s="1375">
        <v>10</v>
      </c>
      <c r="AK6" s="1376" t="s">
        <v>287</v>
      </c>
      <c r="AL6" s="1374"/>
      <c r="AM6" s="1375">
        <v>11</v>
      </c>
      <c r="AN6" s="1376" t="s">
        <v>287</v>
      </c>
      <c r="AO6" s="1374"/>
      <c r="AP6" s="1375">
        <v>12</v>
      </c>
      <c r="AQ6" s="1376" t="s">
        <v>287</v>
      </c>
      <c r="AR6" s="1374"/>
      <c r="AS6" s="1375">
        <v>13</v>
      </c>
      <c r="AT6" s="1376" t="s">
        <v>287</v>
      </c>
      <c r="AU6" s="1374"/>
      <c r="AV6" s="1375">
        <v>14</v>
      </c>
      <c r="AW6" s="1376" t="s">
        <v>287</v>
      </c>
      <c r="AX6" s="1374"/>
      <c r="AY6" s="1375">
        <v>15</v>
      </c>
      <c r="AZ6" s="1376" t="s">
        <v>287</v>
      </c>
      <c r="BA6" s="1374"/>
      <c r="BB6" s="1375">
        <v>16</v>
      </c>
      <c r="BC6" s="1376" t="s">
        <v>287</v>
      </c>
      <c r="BD6" s="1374"/>
      <c r="BE6" s="1375">
        <v>17</v>
      </c>
      <c r="BF6" s="1376" t="s">
        <v>287</v>
      </c>
      <c r="BG6" s="1374"/>
      <c r="BH6" s="1375">
        <v>18</v>
      </c>
      <c r="BI6" s="1376" t="s">
        <v>287</v>
      </c>
      <c r="BJ6" s="1374"/>
      <c r="BK6" s="1375">
        <v>19</v>
      </c>
      <c r="BL6" s="1376" t="s">
        <v>287</v>
      </c>
      <c r="BM6" s="1374"/>
      <c r="BN6" s="1375">
        <v>20</v>
      </c>
      <c r="BO6" s="1376" t="s">
        <v>287</v>
      </c>
      <c r="BP6" s="1374"/>
      <c r="BQ6" s="1375">
        <v>21</v>
      </c>
      <c r="BR6" s="1376" t="s">
        <v>287</v>
      </c>
      <c r="BS6" s="1374"/>
      <c r="BT6" s="1375">
        <v>22</v>
      </c>
      <c r="BU6" s="1376" t="s">
        <v>287</v>
      </c>
      <c r="BV6" s="1380"/>
      <c r="BW6" s="1378">
        <v>23</v>
      </c>
      <c r="BX6" s="1379" t="s">
        <v>287</v>
      </c>
      <c r="BY6" s="1380"/>
      <c r="BZ6" s="1378">
        <v>24</v>
      </c>
      <c r="CA6" s="1381" t="s">
        <v>287</v>
      </c>
      <c r="CB6" s="1530"/>
      <c r="CC6" s="1530"/>
      <c r="CD6" s="1530"/>
      <c r="CE6" s="1530"/>
      <c r="CF6" s="1530"/>
      <c r="CG6" s="1530"/>
      <c r="CH6" s="1530"/>
      <c r="CI6" s="1530"/>
      <c r="CJ6" s="1530"/>
      <c r="CK6" s="1530"/>
      <c r="CL6" s="1530"/>
      <c r="CM6" s="1530"/>
      <c r="CN6" s="1530"/>
      <c r="CO6" s="1530"/>
      <c r="CP6" s="1530"/>
      <c r="CQ6" s="1530"/>
      <c r="CR6" s="1530"/>
      <c r="CS6" s="1530"/>
      <c r="CT6" s="1530"/>
      <c r="CU6" s="1530"/>
      <c r="CV6" s="1530"/>
      <c r="CW6" s="1530"/>
      <c r="CX6" s="1530"/>
      <c r="CY6" s="1530"/>
      <c r="CZ6" s="1530"/>
      <c r="DA6" s="1530"/>
      <c r="DB6" s="1530"/>
      <c r="DC6" s="1530"/>
      <c r="DD6" s="1530"/>
      <c r="DE6" s="1530"/>
      <c r="DF6" s="1530"/>
      <c r="DG6" s="1530"/>
      <c r="DH6" s="1530"/>
      <c r="DI6" s="1530"/>
      <c r="DJ6" s="1530"/>
      <c r="DK6" s="1530"/>
      <c r="DL6" s="1530"/>
      <c r="DM6" s="1530"/>
      <c r="DN6" s="1530"/>
      <c r="DO6" s="1530"/>
      <c r="DP6" s="1530"/>
      <c r="DQ6" s="1530"/>
      <c r="DR6" s="1530"/>
      <c r="DS6" s="1530"/>
      <c r="DT6" s="1530"/>
      <c r="DU6" s="1530"/>
      <c r="DV6" s="1530"/>
      <c r="DW6" s="1530"/>
      <c r="DX6" s="1530"/>
      <c r="DY6" s="1530"/>
      <c r="DZ6" s="1530"/>
      <c r="EA6" s="1530"/>
      <c r="EB6" s="1530"/>
      <c r="EC6" s="1530"/>
      <c r="ED6" s="1530"/>
      <c r="EE6" s="1530"/>
      <c r="EF6" s="1530"/>
      <c r="EG6" s="1530"/>
      <c r="EH6" s="1530"/>
      <c r="EI6" s="1530"/>
      <c r="EJ6" s="1530"/>
      <c r="EK6" s="1530"/>
      <c r="EL6" s="1530"/>
      <c r="EM6" s="1530"/>
      <c r="EN6" s="1530"/>
      <c r="EO6" s="1530"/>
      <c r="EP6" s="1530"/>
      <c r="EQ6" s="1530"/>
      <c r="ER6" s="1530"/>
      <c r="ES6" s="1530"/>
      <c r="ET6" s="1530"/>
      <c r="EU6" s="1530"/>
      <c r="EV6" s="1530"/>
      <c r="EW6" s="1530"/>
      <c r="EX6" s="1530"/>
      <c r="EY6" s="1530"/>
      <c r="EZ6" s="1530"/>
      <c r="FA6" s="1530"/>
      <c r="FB6" s="1530"/>
      <c r="FC6" s="1530"/>
      <c r="FD6" s="1530"/>
      <c r="FE6" s="1530"/>
      <c r="FF6" s="1530"/>
      <c r="FG6" s="1530"/>
      <c r="FH6" s="1530"/>
      <c r="FI6" s="1530"/>
      <c r="FJ6" s="1530"/>
      <c r="FK6" s="1530"/>
      <c r="FL6" s="1530"/>
      <c r="FM6" s="1530"/>
      <c r="FN6" s="1530"/>
      <c r="FO6" s="1530"/>
      <c r="FP6" s="1530"/>
      <c r="FQ6" s="1530"/>
      <c r="FR6" s="1530"/>
      <c r="FS6" s="1530"/>
      <c r="FT6" s="1530"/>
      <c r="FU6" s="1530"/>
      <c r="FV6" s="1530"/>
      <c r="FW6" s="1530"/>
      <c r="FX6" s="1530"/>
      <c r="FY6" s="1530"/>
      <c r="FZ6" s="1530"/>
      <c r="GA6" s="1530"/>
      <c r="GB6" s="1530"/>
      <c r="GC6" s="1530"/>
      <c r="GD6" s="1530"/>
      <c r="GE6" s="1530"/>
      <c r="GF6" s="1530"/>
      <c r="GG6" s="1530"/>
      <c r="GH6" s="1530"/>
      <c r="GI6" s="1530"/>
      <c r="GJ6" s="1530"/>
      <c r="GK6" s="1530"/>
      <c r="GL6" s="1530"/>
      <c r="GM6" s="1530"/>
      <c r="GN6" s="1530"/>
      <c r="GO6" s="1530"/>
      <c r="GP6" s="1530"/>
      <c r="GQ6" s="1530"/>
      <c r="GR6" s="1530"/>
      <c r="GS6" s="1530"/>
      <c r="GT6" s="1530"/>
      <c r="GU6" s="1530"/>
      <c r="GV6" s="1530"/>
      <c r="GW6" s="1530"/>
      <c r="GX6" s="1530"/>
      <c r="GY6" s="1530"/>
      <c r="GZ6" s="1530"/>
      <c r="HA6" s="1530"/>
      <c r="HB6" s="1530"/>
      <c r="HC6" s="1530"/>
      <c r="HD6" s="1530"/>
      <c r="HE6" s="1530"/>
      <c r="HF6" s="1530"/>
      <c r="HG6" s="1530"/>
      <c r="HH6" s="1530"/>
      <c r="HI6" s="1530"/>
      <c r="HJ6" s="1530"/>
      <c r="HK6" s="1530"/>
      <c r="HL6" s="1530"/>
      <c r="HM6" s="1530"/>
      <c r="HN6" s="1530"/>
      <c r="HO6" s="1530"/>
      <c r="HP6" s="1530"/>
      <c r="HQ6" s="1530"/>
      <c r="HR6" s="1530"/>
      <c r="HS6" s="1530"/>
      <c r="HT6" s="1530"/>
      <c r="HU6" s="1530"/>
      <c r="HV6" s="1530"/>
      <c r="HW6" s="1530"/>
      <c r="HX6" s="1530"/>
      <c r="HY6" s="1530"/>
      <c r="HZ6" s="1530"/>
      <c r="IA6" s="1530"/>
      <c r="IB6" s="1530"/>
      <c r="IC6" s="1530"/>
      <c r="ID6" s="1530"/>
      <c r="IE6" s="1530"/>
      <c r="IF6" s="1530"/>
      <c r="IG6" s="1530"/>
      <c r="IH6" s="1530"/>
      <c r="II6" s="1530"/>
      <c r="IJ6" s="1530"/>
      <c r="IK6" s="1530"/>
      <c r="IL6" s="1530"/>
      <c r="IM6" s="1530"/>
      <c r="IN6" s="1530"/>
      <c r="IO6" s="1530"/>
      <c r="IP6" s="1530"/>
      <c r="IQ6" s="1530"/>
      <c r="IR6" s="1530"/>
      <c r="IS6" s="1530"/>
      <c r="IT6" s="1530"/>
      <c r="IU6" s="1530"/>
      <c r="IV6" s="1530"/>
    </row>
    <row r="7" spans="1:256" x14ac:dyDescent="0.2">
      <c r="A7" s="1532" t="s">
        <v>17</v>
      </c>
      <c r="B7" s="1537"/>
      <c r="C7" s="1537" t="s">
        <v>16</v>
      </c>
      <c r="D7" s="1538"/>
      <c r="E7" s="1538"/>
      <c r="F7" s="1539"/>
      <c r="G7" s="1539"/>
      <c r="H7" s="1103" t="s">
        <v>4</v>
      </c>
      <c r="I7" s="1104" t="s">
        <v>9</v>
      </c>
      <c r="J7" s="1105" t="s">
        <v>10</v>
      </c>
      <c r="K7" s="1103" t="s">
        <v>4</v>
      </c>
      <c r="L7" s="1104" t="s">
        <v>9</v>
      </c>
      <c r="M7" s="1105" t="s">
        <v>10</v>
      </c>
      <c r="N7" s="1103" t="s">
        <v>4</v>
      </c>
      <c r="O7" s="1104" t="s">
        <v>9</v>
      </c>
      <c r="P7" s="1105" t="s">
        <v>10</v>
      </c>
      <c r="Q7" s="1103" t="s">
        <v>4</v>
      </c>
      <c r="R7" s="1104" t="s">
        <v>9</v>
      </c>
      <c r="S7" s="1105" t="s">
        <v>10</v>
      </c>
      <c r="T7" s="1103" t="s">
        <v>4</v>
      </c>
      <c r="U7" s="1104" t="s">
        <v>9</v>
      </c>
      <c r="V7" s="1105" t="s">
        <v>10</v>
      </c>
      <c r="W7" s="1103" t="s">
        <v>4</v>
      </c>
      <c r="X7" s="1104" t="s">
        <v>9</v>
      </c>
      <c r="Y7" s="1105" t="s">
        <v>10</v>
      </c>
      <c r="Z7" s="1103" t="s">
        <v>4</v>
      </c>
      <c r="AA7" s="1104" t="s">
        <v>9</v>
      </c>
      <c r="AB7" s="1105" t="s">
        <v>10</v>
      </c>
      <c r="AC7" s="1103" t="s">
        <v>4</v>
      </c>
      <c r="AD7" s="1104" t="s">
        <v>9</v>
      </c>
      <c r="AE7" s="1105" t="s">
        <v>10</v>
      </c>
      <c r="AF7" s="1103" t="s">
        <v>4</v>
      </c>
      <c r="AG7" s="1104" t="s">
        <v>9</v>
      </c>
      <c r="AH7" s="1105" t="s">
        <v>10</v>
      </c>
      <c r="AI7" s="1103" t="s">
        <v>4</v>
      </c>
      <c r="AJ7" s="1104" t="s">
        <v>9</v>
      </c>
      <c r="AK7" s="1105" t="s">
        <v>10</v>
      </c>
      <c r="AL7" s="1103" t="s">
        <v>4</v>
      </c>
      <c r="AM7" s="1104" t="s">
        <v>9</v>
      </c>
      <c r="AN7" s="1105" t="s">
        <v>10</v>
      </c>
      <c r="AO7" s="1103" t="s">
        <v>4</v>
      </c>
      <c r="AP7" s="1104" t="s">
        <v>9</v>
      </c>
      <c r="AQ7" s="1105" t="s">
        <v>10</v>
      </c>
      <c r="AR7" s="1103" t="s">
        <v>4</v>
      </c>
      <c r="AS7" s="1104" t="s">
        <v>9</v>
      </c>
      <c r="AT7" s="1105" t="s">
        <v>10</v>
      </c>
      <c r="AU7" s="1103" t="s">
        <v>4</v>
      </c>
      <c r="AV7" s="1104" t="s">
        <v>9</v>
      </c>
      <c r="AW7" s="1105" t="s">
        <v>10</v>
      </c>
      <c r="AX7" s="1103" t="s">
        <v>4</v>
      </c>
      <c r="AY7" s="1104" t="s">
        <v>9</v>
      </c>
      <c r="AZ7" s="1105" t="s">
        <v>10</v>
      </c>
      <c r="BA7" s="1103" t="s">
        <v>4</v>
      </c>
      <c r="BB7" s="1104" t="s">
        <v>9</v>
      </c>
      <c r="BC7" s="1105" t="s">
        <v>10</v>
      </c>
      <c r="BD7" s="1103" t="s">
        <v>4</v>
      </c>
      <c r="BE7" s="1104" t="s">
        <v>9</v>
      </c>
      <c r="BF7" s="1105" t="s">
        <v>10</v>
      </c>
      <c r="BG7" s="1103" t="s">
        <v>4</v>
      </c>
      <c r="BH7" s="1104" t="s">
        <v>9</v>
      </c>
      <c r="BI7" s="1105" t="s">
        <v>10</v>
      </c>
      <c r="BJ7" s="1103" t="s">
        <v>4</v>
      </c>
      <c r="BK7" s="1104" t="s">
        <v>9</v>
      </c>
      <c r="BL7" s="1105" t="s">
        <v>10</v>
      </c>
      <c r="BM7" s="1103" t="s">
        <v>4</v>
      </c>
      <c r="BN7" s="1104" t="s">
        <v>9</v>
      </c>
      <c r="BO7" s="1105" t="s">
        <v>10</v>
      </c>
      <c r="BP7" s="1103" t="s">
        <v>4</v>
      </c>
      <c r="BQ7" s="1104" t="s">
        <v>9</v>
      </c>
      <c r="BR7" s="1105" t="s">
        <v>10</v>
      </c>
      <c r="BS7" s="1103" t="s">
        <v>4</v>
      </c>
      <c r="BT7" s="1104" t="s">
        <v>9</v>
      </c>
      <c r="BU7" s="1105" t="s">
        <v>10</v>
      </c>
      <c r="BV7" s="1106" t="s">
        <v>4</v>
      </c>
      <c r="BW7" s="1107" t="s">
        <v>9</v>
      </c>
      <c r="BX7" s="1108" t="s">
        <v>10</v>
      </c>
      <c r="BY7" s="1382" t="s">
        <v>4</v>
      </c>
      <c r="BZ7" s="1107" t="s">
        <v>9</v>
      </c>
      <c r="CA7" s="1108" t="s">
        <v>10</v>
      </c>
      <c r="CB7" s="1530"/>
      <c r="CC7" s="1530"/>
      <c r="CD7" s="1530"/>
      <c r="CE7" s="1530"/>
      <c r="CF7" s="1530"/>
      <c r="CG7" s="1530"/>
      <c r="CH7" s="1530"/>
      <c r="CI7" s="1530"/>
      <c r="CJ7" s="1530"/>
      <c r="CK7" s="1530"/>
      <c r="CL7" s="1530"/>
      <c r="CM7" s="1530"/>
      <c r="CN7" s="1530"/>
      <c r="CO7" s="1530"/>
      <c r="CP7" s="1530"/>
      <c r="CQ7" s="1530"/>
      <c r="CR7" s="1530"/>
      <c r="CS7" s="1530"/>
      <c r="CT7" s="1530"/>
      <c r="CU7" s="1530"/>
      <c r="CV7" s="1530"/>
      <c r="CW7" s="1530"/>
      <c r="CX7" s="1530"/>
      <c r="CY7" s="1530"/>
      <c r="CZ7" s="1530"/>
      <c r="DA7" s="1530"/>
      <c r="DB7" s="1530"/>
      <c r="DC7" s="1530"/>
      <c r="DD7" s="1530"/>
      <c r="DE7" s="1530"/>
      <c r="DF7" s="1530"/>
      <c r="DG7" s="1530"/>
      <c r="DH7" s="1530"/>
      <c r="DI7" s="1530"/>
      <c r="DJ7" s="1530"/>
      <c r="DK7" s="1530"/>
      <c r="DL7" s="1530"/>
      <c r="DM7" s="1530"/>
      <c r="DN7" s="1530"/>
      <c r="DO7" s="1530"/>
      <c r="DP7" s="1530"/>
      <c r="DQ7" s="1530"/>
      <c r="DR7" s="1530"/>
      <c r="DS7" s="1530"/>
      <c r="DT7" s="1530"/>
      <c r="DU7" s="1530"/>
      <c r="DV7" s="1530"/>
      <c r="DW7" s="1530"/>
      <c r="DX7" s="1530"/>
      <c r="DY7" s="1530"/>
      <c r="DZ7" s="1530"/>
      <c r="EA7" s="1530"/>
      <c r="EB7" s="1530"/>
      <c r="EC7" s="1530"/>
      <c r="ED7" s="1530"/>
      <c r="EE7" s="1530"/>
      <c r="EF7" s="1530"/>
      <c r="EG7" s="1530"/>
      <c r="EH7" s="1530"/>
      <c r="EI7" s="1530"/>
      <c r="EJ7" s="1530"/>
      <c r="EK7" s="1530"/>
      <c r="EL7" s="1530"/>
      <c r="EM7" s="1530"/>
      <c r="EN7" s="1530"/>
      <c r="EO7" s="1530"/>
      <c r="EP7" s="1530"/>
      <c r="EQ7" s="1530"/>
      <c r="ER7" s="1530"/>
      <c r="ES7" s="1530"/>
      <c r="ET7" s="1530"/>
      <c r="EU7" s="1530"/>
      <c r="EV7" s="1530"/>
      <c r="EW7" s="1530"/>
      <c r="EX7" s="1530"/>
      <c r="EY7" s="1530"/>
      <c r="EZ7" s="1530"/>
      <c r="FA7" s="1530"/>
      <c r="FB7" s="1530"/>
      <c r="FC7" s="1530"/>
      <c r="FD7" s="1530"/>
      <c r="FE7" s="1530"/>
      <c r="FF7" s="1530"/>
      <c r="FG7" s="1530"/>
      <c r="FH7" s="1530"/>
      <c r="FI7" s="1530"/>
      <c r="FJ7" s="1530"/>
      <c r="FK7" s="1530"/>
      <c r="FL7" s="1530"/>
      <c r="FM7" s="1530"/>
      <c r="FN7" s="1530"/>
      <c r="FO7" s="1530"/>
      <c r="FP7" s="1530"/>
      <c r="FQ7" s="1530"/>
      <c r="FR7" s="1530"/>
      <c r="FS7" s="1530"/>
      <c r="FT7" s="1530"/>
      <c r="FU7" s="1530"/>
      <c r="FV7" s="1530"/>
      <c r="FW7" s="1530"/>
      <c r="FX7" s="1530"/>
      <c r="FY7" s="1530"/>
      <c r="FZ7" s="1530"/>
      <c r="GA7" s="1530"/>
      <c r="GB7" s="1530"/>
      <c r="GC7" s="1530"/>
      <c r="GD7" s="1530"/>
      <c r="GE7" s="1530"/>
      <c r="GF7" s="1530"/>
      <c r="GG7" s="1530"/>
      <c r="GH7" s="1530"/>
      <c r="GI7" s="1530"/>
      <c r="GJ7" s="1530"/>
      <c r="GK7" s="1530"/>
      <c r="GL7" s="1530"/>
      <c r="GM7" s="1530"/>
      <c r="GN7" s="1530"/>
      <c r="GO7" s="1530"/>
      <c r="GP7" s="1530"/>
      <c r="GQ7" s="1530"/>
      <c r="GR7" s="1530"/>
      <c r="GS7" s="1530"/>
      <c r="GT7" s="1530"/>
      <c r="GU7" s="1530"/>
      <c r="GV7" s="1530"/>
      <c r="GW7" s="1530"/>
      <c r="GX7" s="1530"/>
      <c r="GY7" s="1530"/>
      <c r="GZ7" s="1530"/>
      <c r="HA7" s="1530"/>
      <c r="HB7" s="1530"/>
      <c r="HC7" s="1530"/>
      <c r="HD7" s="1530"/>
      <c r="HE7" s="1530"/>
      <c r="HF7" s="1530"/>
      <c r="HG7" s="1530"/>
      <c r="HH7" s="1530"/>
      <c r="HI7" s="1530"/>
      <c r="HJ7" s="1530"/>
      <c r="HK7" s="1530"/>
      <c r="HL7" s="1530"/>
      <c r="HM7" s="1530"/>
      <c r="HN7" s="1530"/>
      <c r="HO7" s="1530"/>
      <c r="HP7" s="1530"/>
      <c r="HQ7" s="1530"/>
      <c r="HR7" s="1530"/>
      <c r="HS7" s="1530"/>
      <c r="HT7" s="1530"/>
      <c r="HU7" s="1530"/>
      <c r="HV7" s="1530"/>
      <c r="HW7" s="1530"/>
      <c r="HX7" s="1530"/>
      <c r="HY7" s="1530"/>
      <c r="HZ7" s="1530"/>
      <c r="IA7" s="1530"/>
      <c r="IB7" s="1530"/>
      <c r="IC7" s="1530"/>
      <c r="ID7" s="1530"/>
      <c r="IE7" s="1530"/>
      <c r="IF7" s="1530"/>
      <c r="IG7" s="1530"/>
      <c r="IH7" s="1530"/>
      <c r="II7" s="1530"/>
      <c r="IJ7" s="1530"/>
      <c r="IK7" s="1530"/>
      <c r="IL7" s="1530"/>
      <c r="IM7" s="1530"/>
      <c r="IN7" s="1530"/>
      <c r="IO7" s="1530"/>
      <c r="IP7" s="1530"/>
      <c r="IQ7" s="1530"/>
      <c r="IR7" s="1530"/>
      <c r="IS7" s="1530"/>
      <c r="IT7" s="1530"/>
      <c r="IU7" s="1530"/>
      <c r="IV7" s="1530"/>
    </row>
    <row r="8" spans="1:256" ht="13.5" thickBot="1" x14ac:dyDescent="0.25">
      <c r="A8" s="1540" t="s">
        <v>18</v>
      </c>
      <c r="B8" s="1541"/>
      <c r="C8" s="1542" t="s">
        <v>28</v>
      </c>
      <c r="D8" s="1543"/>
      <c r="E8" s="1543"/>
      <c r="F8" s="1544"/>
      <c r="G8" s="1544"/>
      <c r="H8" s="1115" t="s">
        <v>30</v>
      </c>
      <c r="I8" s="1116" t="s">
        <v>31</v>
      </c>
      <c r="J8" s="1117" t="s">
        <v>44</v>
      </c>
      <c r="K8" s="1118" t="s">
        <v>30</v>
      </c>
      <c r="L8" s="1119" t="s">
        <v>31</v>
      </c>
      <c r="M8" s="1120" t="s">
        <v>44</v>
      </c>
      <c r="N8" s="1115" t="s">
        <v>30</v>
      </c>
      <c r="O8" s="1116" t="s">
        <v>31</v>
      </c>
      <c r="P8" s="1117" t="s">
        <v>44</v>
      </c>
      <c r="Q8" s="1115" t="s">
        <v>30</v>
      </c>
      <c r="R8" s="1116" t="s">
        <v>31</v>
      </c>
      <c r="S8" s="1117" t="s">
        <v>44</v>
      </c>
      <c r="T8" s="1115" t="s">
        <v>30</v>
      </c>
      <c r="U8" s="1116" t="s">
        <v>31</v>
      </c>
      <c r="V8" s="1117" t="s">
        <v>44</v>
      </c>
      <c r="W8" s="1115" t="s">
        <v>30</v>
      </c>
      <c r="X8" s="1116" t="s">
        <v>31</v>
      </c>
      <c r="Y8" s="1117" t="s">
        <v>44</v>
      </c>
      <c r="Z8" s="1115" t="s">
        <v>30</v>
      </c>
      <c r="AA8" s="1116" t="s">
        <v>31</v>
      </c>
      <c r="AB8" s="1117" t="s">
        <v>44</v>
      </c>
      <c r="AC8" s="1115" t="s">
        <v>30</v>
      </c>
      <c r="AD8" s="1116" t="s">
        <v>31</v>
      </c>
      <c r="AE8" s="1117" t="s">
        <v>44</v>
      </c>
      <c r="AF8" s="1115" t="s">
        <v>30</v>
      </c>
      <c r="AG8" s="1116" t="s">
        <v>31</v>
      </c>
      <c r="AH8" s="1117" t="s">
        <v>44</v>
      </c>
      <c r="AI8" s="1115" t="s">
        <v>30</v>
      </c>
      <c r="AJ8" s="1116" t="s">
        <v>31</v>
      </c>
      <c r="AK8" s="1117" t="s">
        <v>44</v>
      </c>
      <c r="AL8" s="1115" t="s">
        <v>30</v>
      </c>
      <c r="AM8" s="1116" t="s">
        <v>31</v>
      </c>
      <c r="AN8" s="1117" t="s">
        <v>44</v>
      </c>
      <c r="AO8" s="1115" t="s">
        <v>30</v>
      </c>
      <c r="AP8" s="1116" t="s">
        <v>31</v>
      </c>
      <c r="AQ8" s="1117" t="s">
        <v>44</v>
      </c>
      <c r="AR8" s="1115" t="s">
        <v>30</v>
      </c>
      <c r="AS8" s="1116" t="s">
        <v>31</v>
      </c>
      <c r="AT8" s="1117" t="s">
        <v>44</v>
      </c>
      <c r="AU8" s="1115" t="s">
        <v>30</v>
      </c>
      <c r="AV8" s="1116" t="s">
        <v>31</v>
      </c>
      <c r="AW8" s="1117" t="s">
        <v>44</v>
      </c>
      <c r="AX8" s="1115" t="s">
        <v>30</v>
      </c>
      <c r="AY8" s="1116" t="s">
        <v>31</v>
      </c>
      <c r="AZ8" s="1117" t="s">
        <v>44</v>
      </c>
      <c r="BA8" s="1115" t="s">
        <v>30</v>
      </c>
      <c r="BB8" s="1116" t="s">
        <v>31</v>
      </c>
      <c r="BC8" s="1117" t="s">
        <v>44</v>
      </c>
      <c r="BD8" s="1115" t="s">
        <v>30</v>
      </c>
      <c r="BE8" s="1116" t="s">
        <v>31</v>
      </c>
      <c r="BF8" s="1117" t="s">
        <v>44</v>
      </c>
      <c r="BG8" s="1115" t="s">
        <v>30</v>
      </c>
      <c r="BH8" s="1116" t="s">
        <v>31</v>
      </c>
      <c r="BI8" s="1117" t="s">
        <v>44</v>
      </c>
      <c r="BJ8" s="1115" t="s">
        <v>30</v>
      </c>
      <c r="BK8" s="1116" t="s">
        <v>31</v>
      </c>
      <c r="BL8" s="1117" t="s">
        <v>44</v>
      </c>
      <c r="BM8" s="1115" t="s">
        <v>30</v>
      </c>
      <c r="BN8" s="1116" t="s">
        <v>31</v>
      </c>
      <c r="BO8" s="1117" t="s">
        <v>44</v>
      </c>
      <c r="BP8" s="1115" t="s">
        <v>30</v>
      </c>
      <c r="BQ8" s="1116" t="s">
        <v>31</v>
      </c>
      <c r="BR8" s="1117" t="s">
        <v>44</v>
      </c>
      <c r="BS8" s="1115" t="s">
        <v>30</v>
      </c>
      <c r="BT8" s="1116" t="s">
        <v>31</v>
      </c>
      <c r="BU8" s="1117" t="s">
        <v>44</v>
      </c>
      <c r="BV8" s="1118" t="s">
        <v>30</v>
      </c>
      <c r="BW8" s="1119" t="s">
        <v>31</v>
      </c>
      <c r="BX8" s="1120" t="s">
        <v>44</v>
      </c>
      <c r="BY8" s="1118" t="s">
        <v>30</v>
      </c>
      <c r="BZ8" s="1119" t="s">
        <v>31</v>
      </c>
      <c r="CA8" s="1120" t="s">
        <v>44</v>
      </c>
      <c r="CB8" s="1530"/>
      <c r="CC8" s="1530"/>
      <c r="CD8" s="1530"/>
      <c r="CE8" s="1530"/>
      <c r="CF8" s="1530"/>
      <c r="CG8" s="1530"/>
      <c r="CH8" s="1530"/>
      <c r="CI8" s="1530"/>
      <c r="CJ8" s="1530"/>
      <c r="CK8" s="1530"/>
      <c r="CL8" s="1530"/>
      <c r="CM8" s="1530"/>
      <c r="CN8" s="1530"/>
      <c r="CO8" s="1530"/>
      <c r="CP8" s="1530"/>
      <c r="CQ8" s="1530"/>
      <c r="CR8" s="1530"/>
      <c r="CS8" s="1530"/>
      <c r="CT8" s="1530"/>
      <c r="CU8" s="1530"/>
      <c r="CV8" s="1530"/>
      <c r="CW8" s="1530"/>
      <c r="CX8" s="1530"/>
      <c r="CY8" s="1530"/>
      <c r="CZ8" s="1530"/>
      <c r="DA8" s="1530"/>
      <c r="DB8" s="1530"/>
      <c r="DC8" s="1530"/>
      <c r="DD8" s="1530"/>
      <c r="DE8" s="1530"/>
      <c r="DF8" s="1530"/>
      <c r="DG8" s="1530"/>
      <c r="DH8" s="1530"/>
      <c r="DI8" s="1530"/>
      <c r="DJ8" s="1530"/>
      <c r="DK8" s="1530"/>
      <c r="DL8" s="1530"/>
      <c r="DM8" s="1530"/>
      <c r="DN8" s="1530"/>
      <c r="DO8" s="1530"/>
      <c r="DP8" s="1530"/>
      <c r="DQ8" s="1530"/>
      <c r="DR8" s="1530"/>
      <c r="DS8" s="1530"/>
      <c r="DT8" s="1530"/>
      <c r="DU8" s="1530"/>
      <c r="DV8" s="1530"/>
      <c r="DW8" s="1530"/>
      <c r="DX8" s="1530"/>
      <c r="DY8" s="1530"/>
      <c r="DZ8" s="1530"/>
      <c r="EA8" s="1530"/>
      <c r="EB8" s="1530"/>
      <c r="EC8" s="1530"/>
      <c r="ED8" s="1530"/>
      <c r="EE8" s="1530"/>
      <c r="EF8" s="1530"/>
      <c r="EG8" s="1530"/>
      <c r="EH8" s="1530"/>
      <c r="EI8" s="1530"/>
      <c r="EJ8" s="1530"/>
      <c r="EK8" s="1530"/>
      <c r="EL8" s="1530"/>
      <c r="EM8" s="1530"/>
      <c r="EN8" s="1530"/>
      <c r="EO8" s="1530"/>
      <c r="EP8" s="1530"/>
      <c r="EQ8" s="1530"/>
      <c r="ER8" s="1530"/>
      <c r="ES8" s="1530"/>
      <c r="ET8" s="1530"/>
      <c r="EU8" s="1530"/>
      <c r="EV8" s="1530"/>
      <c r="EW8" s="1530"/>
      <c r="EX8" s="1530"/>
      <c r="EY8" s="1530"/>
      <c r="EZ8" s="1530"/>
      <c r="FA8" s="1530"/>
      <c r="FB8" s="1530"/>
      <c r="FC8" s="1530"/>
      <c r="FD8" s="1530"/>
      <c r="FE8" s="1530"/>
      <c r="FF8" s="1530"/>
      <c r="FG8" s="1530"/>
      <c r="FH8" s="1530"/>
      <c r="FI8" s="1530"/>
      <c r="FJ8" s="1530"/>
      <c r="FK8" s="1530"/>
      <c r="FL8" s="1530"/>
      <c r="FM8" s="1530"/>
      <c r="FN8" s="1530"/>
      <c r="FO8" s="1530"/>
      <c r="FP8" s="1530"/>
      <c r="FQ8" s="1530"/>
      <c r="FR8" s="1530"/>
      <c r="FS8" s="1530"/>
      <c r="FT8" s="1530"/>
      <c r="FU8" s="1530"/>
      <c r="FV8" s="1530"/>
      <c r="FW8" s="1530"/>
      <c r="FX8" s="1530"/>
      <c r="FY8" s="1530"/>
      <c r="FZ8" s="1530"/>
      <c r="GA8" s="1530"/>
      <c r="GB8" s="1530"/>
      <c r="GC8" s="1530"/>
      <c r="GD8" s="1530"/>
      <c r="GE8" s="1530"/>
      <c r="GF8" s="1530"/>
      <c r="GG8" s="1530"/>
      <c r="GH8" s="1530"/>
      <c r="GI8" s="1530"/>
      <c r="GJ8" s="1530"/>
      <c r="GK8" s="1530"/>
      <c r="GL8" s="1530"/>
      <c r="GM8" s="1530"/>
      <c r="GN8" s="1530"/>
      <c r="GO8" s="1530"/>
      <c r="GP8" s="1530"/>
      <c r="GQ8" s="1530"/>
      <c r="GR8" s="1530"/>
      <c r="GS8" s="1530"/>
      <c r="GT8" s="1530"/>
      <c r="GU8" s="1530"/>
      <c r="GV8" s="1530"/>
      <c r="GW8" s="1530"/>
      <c r="GX8" s="1530"/>
      <c r="GY8" s="1530"/>
      <c r="GZ8" s="1530"/>
      <c r="HA8" s="1530"/>
      <c r="HB8" s="1530"/>
      <c r="HC8" s="1530"/>
      <c r="HD8" s="1530"/>
      <c r="HE8" s="1530"/>
      <c r="HF8" s="1530"/>
      <c r="HG8" s="1530"/>
      <c r="HH8" s="1530"/>
      <c r="HI8" s="1530"/>
      <c r="HJ8" s="1530"/>
      <c r="HK8" s="1530"/>
      <c r="HL8" s="1530"/>
      <c r="HM8" s="1530"/>
      <c r="HN8" s="1530"/>
      <c r="HO8" s="1530"/>
      <c r="HP8" s="1530"/>
      <c r="HQ8" s="1530"/>
      <c r="HR8" s="1530"/>
      <c r="HS8" s="1530"/>
      <c r="HT8" s="1530"/>
      <c r="HU8" s="1530"/>
      <c r="HV8" s="1530"/>
      <c r="HW8" s="1530"/>
      <c r="HX8" s="1530"/>
      <c r="HY8" s="1530"/>
      <c r="HZ8" s="1530"/>
      <c r="IA8" s="1530"/>
      <c r="IB8" s="1530"/>
      <c r="IC8" s="1530"/>
      <c r="ID8" s="1530"/>
      <c r="IE8" s="1530"/>
      <c r="IF8" s="1530"/>
      <c r="IG8" s="1530"/>
      <c r="IH8" s="1530"/>
      <c r="II8" s="1530"/>
      <c r="IJ8" s="1530"/>
      <c r="IK8" s="1530"/>
      <c r="IL8" s="1530"/>
      <c r="IM8" s="1530"/>
      <c r="IN8" s="1530"/>
      <c r="IO8" s="1530"/>
      <c r="IP8" s="1530"/>
      <c r="IQ8" s="1530"/>
      <c r="IR8" s="1530"/>
      <c r="IS8" s="1530"/>
      <c r="IT8" s="1530"/>
      <c r="IU8" s="1530"/>
      <c r="IV8" s="1530"/>
    </row>
    <row r="9" spans="1:256" x14ac:dyDescent="0.2">
      <c r="A9" s="1545"/>
      <c r="B9" s="1546"/>
      <c r="C9" s="1547"/>
      <c r="D9" s="1548"/>
      <c r="E9" s="1549"/>
      <c r="F9" s="1548" t="s">
        <v>33</v>
      </c>
      <c r="G9" s="1550"/>
      <c r="H9" s="1551">
        <f>SQRT(I9^2+J9^2)*1000/(1.73*I13)</f>
        <v>17.493480584578762</v>
      </c>
      <c r="I9" s="1552">
        <v>3.5310000000000001</v>
      </c>
      <c r="J9" s="1553">
        <v>0.26400000000000001</v>
      </c>
      <c r="K9" s="1551">
        <f>SQRT(L9^2+M9^2)*1000/(1.73*L13)</f>
        <v>17.493480584578762</v>
      </c>
      <c r="L9" s="1552">
        <v>3.5310000000000001</v>
      </c>
      <c r="M9" s="1553">
        <v>0.26400000000000001</v>
      </c>
      <c r="N9" s="1551">
        <f>SQRT(O9^2+P9^2)*1000/(1.73*O13)</f>
        <v>17.560966142043984</v>
      </c>
      <c r="O9" s="1552">
        <v>3.5442</v>
      </c>
      <c r="P9" s="1553">
        <v>0.27060000000000001</v>
      </c>
      <c r="Q9" s="1551">
        <f>SQRT(R9^2+S9^2)*1000/(1.73*R13)</f>
        <v>17.525997081217639</v>
      </c>
      <c r="R9" s="1552">
        <v>3.5375999999999999</v>
      </c>
      <c r="S9" s="1553">
        <v>0.26400000000000001</v>
      </c>
      <c r="T9" s="1551">
        <f>SQRT(U9^2+V9^2)*1000/(1.73*U13)</f>
        <v>17.528453858519974</v>
      </c>
      <c r="U9" s="1552">
        <v>3.5375999999999999</v>
      </c>
      <c r="V9" s="1553">
        <v>0.27060000000000001</v>
      </c>
      <c r="W9" s="1551">
        <f>SQRT(X9^2+Y9^2)*1000/(1.73*X13)</f>
        <v>17.686210149534276</v>
      </c>
      <c r="X9" s="1552">
        <v>3.5705999999999998</v>
      </c>
      <c r="Y9" s="1553">
        <v>0.25739999999999996</v>
      </c>
      <c r="Z9" s="1551">
        <f>SQRT(AA9^2+AB9^2)*1000/(1.73*AA13)</f>
        <v>17.681640752892271</v>
      </c>
      <c r="AA9" s="1552">
        <v>3.5705999999999998</v>
      </c>
      <c r="AB9" s="1553">
        <v>0.2442</v>
      </c>
      <c r="AC9" s="1551">
        <f>SQRT(AD9^2+AE9^2)*1000/(1.73*AD13)</f>
        <v>17.573615411311163</v>
      </c>
      <c r="AD9" s="1552">
        <v>3.5508000000000002</v>
      </c>
      <c r="AE9" s="1553">
        <v>0.2112</v>
      </c>
      <c r="AF9" s="1551">
        <f>SQRT(AG9^2+AH9^2)*1000/(1.73*AG13)</f>
        <v>17.34577379760038</v>
      </c>
      <c r="AG9" s="1552">
        <v>3.5045999999999999</v>
      </c>
      <c r="AH9" s="1553">
        <v>0.2112</v>
      </c>
      <c r="AI9" s="1551">
        <f>SQRT(AJ9^2+AK9^2)*1000/(1.73*AJ13)</f>
        <v>17.278739973771184</v>
      </c>
      <c r="AJ9" s="1552">
        <v>3.4913999999999996</v>
      </c>
      <c r="AK9" s="1553">
        <v>0.2046</v>
      </c>
      <c r="AL9" s="1551">
        <f>SQRT(AM9^2+AN9^2)*1000/(1.73*AM13)</f>
        <v>17.181087205186419</v>
      </c>
      <c r="AM9" s="1552">
        <v>3.4716</v>
      </c>
      <c r="AN9" s="1553">
        <v>0.2046</v>
      </c>
      <c r="AO9" s="1551">
        <f>SQRT(AP9^2+AQ9^2)*1000/(1.73*AP13)</f>
        <v>17.242489461350019</v>
      </c>
      <c r="AP9" s="1552">
        <v>3.4848000000000003</v>
      </c>
      <c r="AQ9" s="1553">
        <v>0.19139999999999999</v>
      </c>
      <c r="AR9" s="1551">
        <f>SQRT(AS9^2+AT9^2)*1000/(1.73*AS13)</f>
        <v>17.338416749091611</v>
      </c>
      <c r="AS9" s="1552">
        <v>3.5046000000000004</v>
      </c>
      <c r="AT9" s="1553">
        <v>0.18480000000000002</v>
      </c>
      <c r="AU9" s="1551">
        <f>SQRT(AV9^2+AW9^2)*1000/(1.73*AV13)</f>
        <v>17.14304876547391</v>
      </c>
      <c r="AV9" s="1552">
        <v>3.4649999999999999</v>
      </c>
      <c r="AW9" s="1553">
        <v>0.18480000000000002</v>
      </c>
      <c r="AX9" s="1551">
        <f>SQRT(AY9^2+AZ9^2)*1000/(1.73*AY13)</f>
        <v>11.339485807382559</v>
      </c>
      <c r="AY9" s="1552">
        <v>2.2902</v>
      </c>
      <c r="AZ9" s="1553">
        <v>-0.15180000000000002</v>
      </c>
      <c r="BA9" s="1551">
        <f>SQRT(BB9^2+BC9^2)*1000/(1.73*BB13)</f>
        <v>9.1173980034041264</v>
      </c>
      <c r="BB9" s="1552">
        <v>1.8348</v>
      </c>
      <c r="BC9" s="1553">
        <v>-0.19800000000000001</v>
      </c>
      <c r="BD9" s="1551">
        <f>SQRT(BE9^2+BF9^2)*1000/(1.73*BE13)</f>
        <v>9.2795088217505306</v>
      </c>
      <c r="BE9" s="1552">
        <v>1.8677999999999999</v>
      </c>
      <c r="BF9" s="1553">
        <v>-0.19800000000000001</v>
      </c>
      <c r="BG9" s="1551">
        <f>SQRT(BH9^2+BI9^2)*1000/(1.73*BH13)</f>
        <v>9.0525629747515879</v>
      </c>
      <c r="BH9" s="1552">
        <v>1.8215999999999999</v>
      </c>
      <c r="BI9" s="1553">
        <v>-0.19800000000000001</v>
      </c>
      <c r="BJ9" s="1551">
        <f>SQRT(BK9^2+BL9^2)*1000/(1.73*BK13)</f>
        <v>9.2830027745874819</v>
      </c>
      <c r="BK9" s="1552">
        <v>1.8678000000000001</v>
      </c>
      <c r="BL9" s="1553">
        <v>-0.2046</v>
      </c>
      <c r="BM9" s="1551">
        <f>SQRT(BN9^2+BO9^2)*1000/(1.73*BN13)</f>
        <v>9.3119348595685576</v>
      </c>
      <c r="BN9" s="1552">
        <v>1.8744000000000001</v>
      </c>
      <c r="BO9" s="1553">
        <v>-0.19800000000000001</v>
      </c>
      <c r="BP9" s="1551">
        <f>SQRT(BQ9^2+BR9^2)*1000/(1.73*BQ13)</f>
        <v>9.2830027745874819</v>
      </c>
      <c r="BQ9" s="1552">
        <v>1.8678000000000001</v>
      </c>
      <c r="BR9" s="1553">
        <v>-0.2046</v>
      </c>
      <c r="BS9" s="1551">
        <f>SQRT(BT9^2+BU9^2)*1000/(1.73*BT13)</f>
        <v>11.136262245518141</v>
      </c>
      <c r="BT9" s="1552">
        <v>2.2506000000000004</v>
      </c>
      <c r="BU9" s="1553">
        <v>-0.12540000000000001</v>
      </c>
      <c r="BV9" s="1551">
        <f>SQRT(BW9^2+BX9^2)*1000/(1.73*BW13)</f>
        <v>15.578476176774419</v>
      </c>
      <c r="BW9" s="1552">
        <v>3.1481999999999997</v>
      </c>
      <c r="BX9" s="1553">
        <v>0.1782</v>
      </c>
      <c r="BY9" s="1551">
        <f>SQRT(BZ9^2+CA9^2)*1000/(1.73*BZ13)</f>
        <v>16.107932810410059</v>
      </c>
      <c r="BZ9" s="1552">
        <v>3.2604000000000002</v>
      </c>
      <c r="CA9" s="1553">
        <v>6.6000000000000017E-3</v>
      </c>
      <c r="CB9" s="1230">
        <f>SUM(I9,L9,O9,R9,U9,X9,AA9,AD9,AG9,AJ9,AM9,AP9,AS9,AV9,AY9,BB9,BE9,BH9,BK9,BN9,BQ9,BT9,BW9,BZ9)</f>
        <v>71.379000000000019</v>
      </c>
      <c r="CC9" s="1230">
        <f t="shared" ref="CC9:CC11" si="0">SUM(J9,M9,P9,S9,V9,Y9,AB9,AE9,AH9,AK9,AN9,AQ9,AT9,AW9,AZ9,BC9,BF9,BI9,BL9,BO9,BR9,BU9,BX9,CA9)</f>
        <v>1.9337999999999995</v>
      </c>
      <c r="CD9" s="1554"/>
      <c r="CE9" s="1554"/>
      <c r="CF9" s="1554"/>
      <c r="CG9" s="1554"/>
      <c r="CH9" s="1554"/>
      <c r="CI9" s="1554"/>
      <c r="CJ9" s="1554"/>
      <c r="CK9" s="1554"/>
      <c r="CL9" s="1554"/>
      <c r="CM9" s="1554"/>
      <c r="CN9" s="1554"/>
      <c r="CO9" s="1554"/>
      <c r="CP9" s="1554"/>
      <c r="CQ9" s="1554"/>
      <c r="CR9" s="1554"/>
      <c r="CS9" s="1554"/>
      <c r="CT9" s="1554"/>
      <c r="CU9" s="1554"/>
      <c r="CV9" s="1554"/>
      <c r="CW9" s="1554"/>
      <c r="CX9" s="1554"/>
      <c r="CY9" s="1554"/>
      <c r="CZ9" s="1554"/>
      <c r="DA9" s="1554"/>
      <c r="DB9" s="1554"/>
      <c r="DC9" s="1554"/>
      <c r="DD9" s="1554"/>
      <c r="DE9" s="1554"/>
      <c r="DF9" s="1554"/>
      <c r="DG9" s="1554"/>
      <c r="DH9" s="1554"/>
      <c r="DI9" s="1554"/>
      <c r="DJ9" s="1554"/>
      <c r="DK9" s="1554"/>
      <c r="DL9" s="1554"/>
      <c r="DM9" s="1554"/>
      <c r="DN9" s="1554"/>
      <c r="DO9" s="1554"/>
      <c r="DP9" s="1554"/>
      <c r="DQ9" s="1554"/>
      <c r="DR9" s="1554"/>
      <c r="DS9" s="1554"/>
      <c r="DT9" s="1554"/>
      <c r="DU9" s="1554"/>
      <c r="DV9" s="1554"/>
      <c r="DW9" s="1554"/>
      <c r="DX9" s="1554"/>
      <c r="DY9" s="1554"/>
      <c r="DZ9" s="1554"/>
      <c r="EA9" s="1554"/>
      <c r="EB9" s="1554"/>
      <c r="EC9" s="1554"/>
      <c r="ED9" s="1554"/>
      <c r="EE9" s="1554"/>
      <c r="EF9" s="1554"/>
      <c r="EG9" s="1554"/>
      <c r="EH9" s="1554"/>
      <c r="EI9" s="1554"/>
      <c r="EJ9" s="1554"/>
      <c r="EK9" s="1554"/>
      <c r="EL9" s="1554"/>
      <c r="EM9" s="1554"/>
      <c r="EN9" s="1554"/>
      <c r="EO9" s="1554"/>
      <c r="EP9" s="1554"/>
      <c r="EQ9" s="1554"/>
      <c r="ER9" s="1554"/>
      <c r="ES9" s="1554"/>
      <c r="ET9" s="1554"/>
      <c r="EU9" s="1554"/>
      <c r="EV9" s="1554"/>
      <c r="EW9" s="1554"/>
      <c r="EX9" s="1554"/>
      <c r="EY9" s="1554"/>
      <c r="EZ9" s="1554"/>
      <c r="FA9" s="1554"/>
      <c r="FB9" s="1554"/>
      <c r="FC9" s="1554"/>
      <c r="FD9" s="1554"/>
      <c r="FE9" s="1554"/>
      <c r="FF9" s="1554"/>
      <c r="FG9" s="1554"/>
      <c r="FH9" s="1554"/>
      <c r="FI9" s="1554"/>
      <c r="FJ9" s="1554"/>
      <c r="FK9" s="1554"/>
      <c r="FL9" s="1554"/>
      <c r="FM9" s="1554"/>
      <c r="FN9" s="1554"/>
      <c r="FO9" s="1554"/>
      <c r="FP9" s="1554"/>
      <c r="FQ9" s="1554"/>
      <c r="FR9" s="1554"/>
      <c r="FS9" s="1554"/>
      <c r="FT9" s="1554"/>
      <c r="FU9" s="1554"/>
      <c r="FV9" s="1554"/>
      <c r="FW9" s="1554"/>
      <c r="FX9" s="1554"/>
      <c r="FY9" s="1554"/>
      <c r="FZ9" s="1554"/>
      <c r="GA9" s="1554"/>
      <c r="GB9" s="1554"/>
      <c r="GC9" s="1554"/>
      <c r="GD9" s="1554"/>
      <c r="GE9" s="1554"/>
      <c r="GF9" s="1554"/>
      <c r="GG9" s="1554"/>
      <c r="GH9" s="1554"/>
      <c r="GI9" s="1554"/>
      <c r="GJ9" s="1554"/>
      <c r="GK9" s="1554"/>
      <c r="GL9" s="1554"/>
      <c r="GM9" s="1554"/>
      <c r="GN9" s="1554"/>
      <c r="GO9" s="1554"/>
      <c r="GP9" s="1554"/>
      <c r="GQ9" s="1554"/>
      <c r="GR9" s="1554"/>
      <c r="GS9" s="1554"/>
      <c r="GT9" s="1554"/>
      <c r="GU9" s="1554"/>
      <c r="GV9" s="1554"/>
      <c r="GW9" s="1554"/>
      <c r="GX9" s="1554"/>
      <c r="GY9" s="1554"/>
      <c r="GZ9" s="1554"/>
      <c r="HA9" s="1554"/>
      <c r="HB9" s="1554"/>
      <c r="HC9" s="1554"/>
      <c r="HD9" s="1554"/>
      <c r="HE9" s="1554"/>
      <c r="HF9" s="1554"/>
      <c r="HG9" s="1554"/>
      <c r="HH9" s="1554"/>
      <c r="HI9" s="1554"/>
      <c r="HJ9" s="1554"/>
      <c r="HK9" s="1554"/>
      <c r="HL9" s="1554"/>
      <c r="HM9" s="1554"/>
      <c r="HN9" s="1554"/>
      <c r="HO9" s="1554"/>
      <c r="HP9" s="1554"/>
      <c r="HQ9" s="1554"/>
      <c r="HR9" s="1554"/>
      <c r="HS9" s="1554"/>
      <c r="HT9" s="1554"/>
      <c r="HU9" s="1554"/>
      <c r="HV9" s="1554"/>
      <c r="HW9" s="1554"/>
      <c r="HX9" s="1554"/>
      <c r="HY9" s="1554"/>
      <c r="HZ9" s="1554"/>
      <c r="IA9" s="1554"/>
      <c r="IB9" s="1554"/>
      <c r="IC9" s="1554"/>
      <c r="ID9" s="1554"/>
      <c r="IE9" s="1554"/>
      <c r="IF9" s="1554"/>
      <c r="IG9" s="1554"/>
      <c r="IH9" s="1554"/>
      <c r="II9" s="1554"/>
      <c r="IJ9" s="1554"/>
      <c r="IK9" s="1554"/>
      <c r="IL9" s="1554"/>
      <c r="IM9" s="1554"/>
      <c r="IN9" s="1554"/>
      <c r="IO9" s="1554"/>
      <c r="IP9" s="1554"/>
      <c r="IQ9" s="1554"/>
      <c r="IR9" s="1554"/>
      <c r="IS9" s="1554"/>
      <c r="IT9" s="1554"/>
      <c r="IU9" s="1554"/>
      <c r="IV9" s="1554"/>
    </row>
    <row r="10" spans="1:256" x14ac:dyDescent="0.2">
      <c r="A10" s="1555"/>
      <c r="B10" s="1556"/>
      <c r="C10" s="1557"/>
      <c r="D10" s="1558" t="s">
        <v>13</v>
      </c>
      <c r="E10" s="1557"/>
      <c r="F10" s="1559" t="s">
        <v>36</v>
      </c>
      <c r="G10" s="1560"/>
      <c r="H10" s="1561">
        <f>SQRT(I10^2+J10^2)*1000/(1.73*I14)</f>
        <v>31.0163835167461</v>
      </c>
      <c r="I10" s="1562">
        <v>1.9445999999999999</v>
      </c>
      <c r="J10" s="1563">
        <v>0.1827</v>
      </c>
      <c r="K10" s="1561">
        <f>SQRT(L10^2+M10^2)*1000/(1.73*L14)</f>
        <v>31.092250026629845</v>
      </c>
      <c r="L10" s="1562">
        <v>1.9509000000000001</v>
      </c>
      <c r="M10" s="1563">
        <v>0.16589999999999996</v>
      </c>
      <c r="N10" s="1561">
        <f>SQRT(O10^2+P10^2)*1000/(1.73*O14)</f>
        <v>31.363757806416636</v>
      </c>
      <c r="O10" s="1562">
        <v>1.9676999999999998</v>
      </c>
      <c r="P10" s="1563">
        <v>0.1701</v>
      </c>
      <c r="Q10" s="1561">
        <f>SQRT(R10^2+S10^2)*1000/(1.73*R14)</f>
        <v>31.38307652401215</v>
      </c>
      <c r="R10" s="1562">
        <v>1.9698</v>
      </c>
      <c r="S10" s="1563">
        <v>0.15959999999999999</v>
      </c>
      <c r="T10" s="1561">
        <f>SQRT(U10^2+V10^2)*1000/(1.73*U14)</f>
        <v>31.38853323643324</v>
      </c>
      <c r="U10" s="1562">
        <v>1.9698</v>
      </c>
      <c r="V10" s="1563">
        <v>0.1638</v>
      </c>
      <c r="W10" s="1561">
        <f>SQRT(X10^2+Y10^2)*1000/(1.73*X14)</f>
        <v>31.344515881797243</v>
      </c>
      <c r="X10" s="1562">
        <v>1.9676999999999998</v>
      </c>
      <c r="Y10" s="1563">
        <v>0.15540000000000001</v>
      </c>
      <c r="Z10" s="1561">
        <f>SQRT(AA10^2+AB10^2)*1000/(1.73*AA14)</f>
        <v>31.104033263212834</v>
      </c>
      <c r="AA10" s="1562">
        <v>1.9530000000000001</v>
      </c>
      <c r="AB10" s="1563">
        <v>0.14909999999999998</v>
      </c>
      <c r="AC10" s="1561">
        <f>SQRT(AD10^2+AE10^2)*1000/(1.73*AD14)</f>
        <v>31.060901685674914</v>
      </c>
      <c r="AD10" s="1562">
        <v>1.9509000000000001</v>
      </c>
      <c r="AE10" s="1563">
        <v>0.14069999999999999</v>
      </c>
      <c r="AF10" s="1561">
        <f>SQRT(AG10^2+AH10^2)*1000/(1.73*AG14)</f>
        <v>30.840607166314058</v>
      </c>
      <c r="AG10" s="1562">
        <v>1.9362000000000001</v>
      </c>
      <c r="AH10" s="1563">
        <v>0.1512</v>
      </c>
      <c r="AI10" s="1561">
        <f>SQRT(AJ10^2+AK10^2)*1000/(1.73*AJ14)</f>
        <v>30.707621181465001</v>
      </c>
      <c r="AJ10" s="1562">
        <v>1.9278</v>
      </c>
      <c r="AK10" s="1563">
        <v>0.1512</v>
      </c>
      <c r="AL10" s="1561">
        <f>SQRT(AM10^2+AN10^2)*1000/(1.73*AM14)</f>
        <v>30.669226595145069</v>
      </c>
      <c r="AM10" s="1562">
        <v>1.9256999999999997</v>
      </c>
      <c r="AN10" s="1563">
        <v>0.14699999999999999</v>
      </c>
      <c r="AO10" s="1561">
        <f>SQRT(AP10^2+AQ10^2)*1000/(1.73*AP14)</f>
        <v>30.697479097586708</v>
      </c>
      <c r="AP10" s="1562">
        <v>1.9278</v>
      </c>
      <c r="AQ10" s="1563">
        <v>0.14280000000000001</v>
      </c>
      <c r="AR10" s="1561">
        <f>SQRT(AS10^2+AT10^2)*1000/(1.73*AS14)</f>
        <v>30.761553390686778</v>
      </c>
      <c r="AS10" s="1562">
        <v>1.9319999999999999</v>
      </c>
      <c r="AT10" s="1563">
        <v>0.14069999999999999</v>
      </c>
      <c r="AU10" s="1561">
        <f>SQRT(AV10^2+AW10^2)*1000/(1.73*AV14)</f>
        <v>30.058251560142519</v>
      </c>
      <c r="AV10" s="1562">
        <v>1.8879000000000001</v>
      </c>
      <c r="AW10" s="1563">
        <v>0.13650000000000001</v>
      </c>
      <c r="AX10" s="1561">
        <f>SQRT(AY10^2+AZ10^2)*1000/(1.73*AY14)</f>
        <v>11.171631836371722</v>
      </c>
      <c r="AY10" s="1562">
        <v>0.70350000000000001</v>
      </c>
      <c r="AZ10" s="1563">
        <v>0</v>
      </c>
      <c r="BA10" s="1561">
        <f>SQRT(BB10^2+BC10^2)*1000/(1.73*BB14)</f>
        <v>3.7016451756336157</v>
      </c>
      <c r="BB10" s="1562">
        <v>0.23310000000000003</v>
      </c>
      <c r="BC10" s="1563">
        <v>0</v>
      </c>
      <c r="BD10" s="1561">
        <f>SQRT(BE10^2+BF10^2)*1000/(1.73*BE14)</f>
        <v>3.5349044019564255</v>
      </c>
      <c r="BE10" s="1562">
        <v>0.22259999999999999</v>
      </c>
      <c r="BF10" s="1563">
        <v>0</v>
      </c>
      <c r="BG10" s="1561">
        <f>SQRT(BH10^2+BI10^2)*1000/(1.73*BH14)</f>
        <v>3.3014673188083594</v>
      </c>
      <c r="BH10" s="1562">
        <v>0.20789999999999997</v>
      </c>
      <c r="BI10" s="1563">
        <v>0</v>
      </c>
      <c r="BJ10" s="1561">
        <f>SQRT(BK10^2+BL10^2)*1000/(1.73*BK14)</f>
        <v>3.5015562472209876</v>
      </c>
      <c r="BK10" s="1562">
        <v>0.2205</v>
      </c>
      <c r="BL10" s="1563">
        <v>0</v>
      </c>
      <c r="BM10" s="1561">
        <f>SQRT(BN10^2+BO10^2)*1000/(1.73*BN14)</f>
        <v>3.568252556691863</v>
      </c>
      <c r="BN10" s="1562">
        <v>0.22469999999999998</v>
      </c>
      <c r="BO10" s="1563">
        <v>0</v>
      </c>
      <c r="BP10" s="1561">
        <f>SQRT(BQ10^2+BR10^2)*1000/(1.73*BQ14)</f>
        <v>3.534904401956426</v>
      </c>
      <c r="BQ10" s="1562">
        <v>0.22260000000000002</v>
      </c>
      <c r="BR10" s="1563">
        <v>0</v>
      </c>
      <c r="BS10" s="1561">
        <f>SQRT(BT10^2+BU10^2)*1000/(1.73*BT14)</f>
        <v>9.7043130280124519</v>
      </c>
      <c r="BT10" s="1562">
        <v>0.61109999999999998</v>
      </c>
      <c r="BU10" s="1563">
        <v>0</v>
      </c>
      <c r="BV10" s="1561">
        <f>SQRT(BW10^2+BX10^2)*1000/(1.73*BW14)</f>
        <v>24.366025002776073</v>
      </c>
      <c r="BW10" s="1562">
        <v>1.5266999999999997</v>
      </c>
      <c r="BX10" s="1563">
        <v>0.15330000000000002</v>
      </c>
      <c r="BY10" s="1561">
        <f>SQRT(BZ10^2+CA10^2)*1000/(1.73*BZ14)</f>
        <v>26.13918906112411</v>
      </c>
      <c r="BZ10" s="1562">
        <v>1.6443000000000001</v>
      </c>
      <c r="CA10" s="1563">
        <v>7.5600000000000001E-2</v>
      </c>
      <c r="CB10" s="1383">
        <f>SUM(I10,L10,O10,R10,U10,X10,AA10,AD10,AG10,AJ10,AM10,AP10,AS10,AV10,AY10,BB10,BE10,BH10,BK10,BN10,BQ10,BT10,BW10,BZ10)</f>
        <v>33.02879999999999</v>
      </c>
      <c r="CC10" s="1230">
        <f t="shared" si="0"/>
        <v>2.3856000000000002</v>
      </c>
      <c r="CD10" s="1554"/>
      <c r="CE10" s="1554"/>
      <c r="CF10" s="1554"/>
      <c r="CG10" s="1554"/>
      <c r="CH10" s="1554"/>
      <c r="CI10" s="1554"/>
      <c r="CJ10" s="1554"/>
      <c r="CK10" s="1554"/>
      <c r="CL10" s="1554"/>
      <c r="CM10" s="1554"/>
      <c r="CN10" s="1554"/>
      <c r="CO10" s="1554"/>
      <c r="CP10" s="1554"/>
      <c r="CQ10" s="1554"/>
      <c r="CR10" s="1554"/>
      <c r="CS10" s="1554"/>
      <c r="CT10" s="1554"/>
      <c r="CU10" s="1554"/>
      <c r="CV10" s="1554"/>
      <c r="CW10" s="1554"/>
      <c r="CX10" s="1554"/>
      <c r="CY10" s="1554"/>
      <c r="CZ10" s="1554"/>
      <c r="DA10" s="1554"/>
      <c r="DB10" s="1554"/>
      <c r="DC10" s="1554"/>
      <c r="DD10" s="1554"/>
      <c r="DE10" s="1554"/>
      <c r="DF10" s="1554"/>
      <c r="DG10" s="1554"/>
      <c r="DH10" s="1554"/>
      <c r="DI10" s="1554"/>
      <c r="DJ10" s="1554"/>
      <c r="DK10" s="1554"/>
      <c r="DL10" s="1554"/>
      <c r="DM10" s="1554"/>
      <c r="DN10" s="1554"/>
      <c r="DO10" s="1554"/>
      <c r="DP10" s="1554"/>
      <c r="DQ10" s="1554"/>
      <c r="DR10" s="1554"/>
      <c r="DS10" s="1554"/>
      <c r="DT10" s="1554"/>
      <c r="DU10" s="1554"/>
      <c r="DV10" s="1554"/>
      <c r="DW10" s="1554"/>
      <c r="DX10" s="1554"/>
      <c r="DY10" s="1554"/>
      <c r="DZ10" s="1554"/>
      <c r="EA10" s="1554"/>
      <c r="EB10" s="1554"/>
      <c r="EC10" s="1554"/>
      <c r="ED10" s="1554"/>
      <c r="EE10" s="1554"/>
      <c r="EF10" s="1554"/>
      <c r="EG10" s="1554"/>
      <c r="EH10" s="1554"/>
      <c r="EI10" s="1554"/>
      <c r="EJ10" s="1554"/>
      <c r="EK10" s="1554"/>
      <c r="EL10" s="1554"/>
      <c r="EM10" s="1554"/>
      <c r="EN10" s="1554"/>
      <c r="EO10" s="1554"/>
      <c r="EP10" s="1554"/>
      <c r="EQ10" s="1554"/>
      <c r="ER10" s="1554"/>
      <c r="ES10" s="1554"/>
      <c r="ET10" s="1554"/>
      <c r="EU10" s="1554"/>
      <c r="EV10" s="1554"/>
      <c r="EW10" s="1554"/>
      <c r="EX10" s="1554"/>
      <c r="EY10" s="1554"/>
      <c r="EZ10" s="1554"/>
      <c r="FA10" s="1554"/>
      <c r="FB10" s="1554"/>
      <c r="FC10" s="1554"/>
      <c r="FD10" s="1554"/>
      <c r="FE10" s="1554"/>
      <c r="FF10" s="1554"/>
      <c r="FG10" s="1554"/>
      <c r="FH10" s="1554"/>
      <c r="FI10" s="1554"/>
      <c r="FJ10" s="1554"/>
      <c r="FK10" s="1554"/>
      <c r="FL10" s="1554"/>
      <c r="FM10" s="1554"/>
      <c r="FN10" s="1554"/>
      <c r="FO10" s="1554"/>
      <c r="FP10" s="1554"/>
      <c r="FQ10" s="1554"/>
      <c r="FR10" s="1554"/>
      <c r="FS10" s="1554"/>
      <c r="FT10" s="1554"/>
      <c r="FU10" s="1554"/>
      <c r="FV10" s="1554"/>
      <c r="FW10" s="1554"/>
      <c r="FX10" s="1554"/>
      <c r="FY10" s="1554"/>
      <c r="FZ10" s="1554"/>
      <c r="GA10" s="1554"/>
      <c r="GB10" s="1554"/>
      <c r="GC10" s="1554"/>
      <c r="GD10" s="1554"/>
      <c r="GE10" s="1554"/>
      <c r="GF10" s="1554"/>
      <c r="GG10" s="1554"/>
      <c r="GH10" s="1554"/>
      <c r="GI10" s="1554"/>
      <c r="GJ10" s="1554"/>
      <c r="GK10" s="1554"/>
      <c r="GL10" s="1554"/>
      <c r="GM10" s="1554"/>
      <c r="GN10" s="1554"/>
      <c r="GO10" s="1554"/>
      <c r="GP10" s="1554"/>
      <c r="GQ10" s="1554"/>
      <c r="GR10" s="1554"/>
      <c r="GS10" s="1554"/>
      <c r="GT10" s="1554"/>
      <c r="GU10" s="1554"/>
      <c r="GV10" s="1554"/>
      <c r="GW10" s="1554"/>
      <c r="GX10" s="1554"/>
      <c r="GY10" s="1554"/>
      <c r="GZ10" s="1554"/>
      <c r="HA10" s="1554"/>
      <c r="HB10" s="1554"/>
      <c r="HC10" s="1554"/>
      <c r="HD10" s="1554"/>
      <c r="HE10" s="1554"/>
      <c r="HF10" s="1554"/>
      <c r="HG10" s="1554"/>
      <c r="HH10" s="1554"/>
      <c r="HI10" s="1554"/>
      <c r="HJ10" s="1554"/>
      <c r="HK10" s="1554"/>
      <c r="HL10" s="1554"/>
      <c r="HM10" s="1554"/>
      <c r="HN10" s="1554"/>
      <c r="HO10" s="1554"/>
      <c r="HP10" s="1554"/>
      <c r="HQ10" s="1554"/>
      <c r="HR10" s="1554"/>
      <c r="HS10" s="1554"/>
      <c r="HT10" s="1554"/>
      <c r="HU10" s="1554"/>
      <c r="HV10" s="1554"/>
      <c r="HW10" s="1554"/>
      <c r="HX10" s="1554"/>
      <c r="HY10" s="1554"/>
      <c r="HZ10" s="1554"/>
      <c r="IA10" s="1554"/>
      <c r="IB10" s="1554"/>
      <c r="IC10" s="1554"/>
      <c r="ID10" s="1554"/>
      <c r="IE10" s="1554"/>
      <c r="IF10" s="1554"/>
      <c r="IG10" s="1554"/>
      <c r="IH10" s="1554"/>
      <c r="II10" s="1554"/>
      <c r="IJ10" s="1554"/>
      <c r="IK10" s="1554"/>
      <c r="IL10" s="1554"/>
      <c r="IM10" s="1554"/>
      <c r="IN10" s="1554"/>
      <c r="IO10" s="1554"/>
      <c r="IP10" s="1554"/>
      <c r="IQ10" s="1554"/>
      <c r="IR10" s="1554"/>
      <c r="IS10" s="1554"/>
      <c r="IT10" s="1554"/>
      <c r="IU10" s="1554"/>
      <c r="IV10" s="1554"/>
    </row>
    <row r="11" spans="1:256" ht="13.5" thickBot="1" x14ac:dyDescent="0.25">
      <c r="A11" s="1555"/>
      <c r="B11" s="1564"/>
      <c r="C11" s="1557"/>
      <c r="D11" s="1558"/>
      <c r="E11" s="1557"/>
      <c r="F11" s="1565" t="s">
        <v>34</v>
      </c>
      <c r="G11" s="1560"/>
      <c r="H11" s="1566">
        <f>SQRT(I11^2+J11^2)*1000/(1.73*I15)</f>
        <v>88.304618665469434</v>
      </c>
      <c r="I11" s="1567">
        <v>1.5734999999999999</v>
      </c>
      <c r="J11" s="1568">
        <v>0</v>
      </c>
      <c r="K11" s="1566">
        <f>SQRT(L11^2+M11^2)*1000/(1.73*L15)</f>
        <v>87.715360008979161</v>
      </c>
      <c r="L11" s="1567">
        <v>1.5629999999999999</v>
      </c>
      <c r="M11" s="1568">
        <v>0</v>
      </c>
      <c r="N11" s="1566">
        <f>SQRT(O11^2+P11^2)*1000/(1.73*O15)</f>
        <v>87.715360008979161</v>
      </c>
      <c r="O11" s="1567">
        <v>1.5629999999999999</v>
      </c>
      <c r="P11" s="1568">
        <v>0</v>
      </c>
      <c r="Q11" s="1566">
        <f>SQRT(R11^2+S11^2)*1000/(1.73*R15)</f>
        <v>87.294460968628982</v>
      </c>
      <c r="R11" s="1567">
        <v>1.5555000000000001</v>
      </c>
      <c r="S11" s="1568">
        <v>0</v>
      </c>
      <c r="T11" s="1566">
        <f>SQRT(U11^2+V11^2)*1000/(1.73*U15)</f>
        <v>87.126101352488902</v>
      </c>
      <c r="U11" s="1567">
        <v>1.5525</v>
      </c>
      <c r="V11" s="1568">
        <v>0</v>
      </c>
      <c r="W11" s="1566">
        <f>SQRT(X11^2+Y11^2)*1000/(1.73*X15)</f>
        <v>88.893877321959692</v>
      </c>
      <c r="X11" s="1567">
        <v>1.5840000000000001</v>
      </c>
      <c r="Y11" s="1568">
        <v>0</v>
      </c>
      <c r="Z11" s="1566">
        <f>SQRT(AA11^2+AB11^2)*1000/(1.73*AA15)</f>
        <v>89.904035018800144</v>
      </c>
      <c r="AA11" s="1567">
        <v>1.6020000000000001</v>
      </c>
      <c r="AB11" s="1568">
        <v>0</v>
      </c>
      <c r="AC11" s="1566">
        <f>SQRT(AD11^2+AE11^2)*1000/(1.73*AD15)</f>
        <v>89.230596554239838</v>
      </c>
      <c r="AD11" s="1567">
        <v>1.59</v>
      </c>
      <c r="AE11" s="1568">
        <v>0</v>
      </c>
      <c r="AF11" s="1566">
        <f>SQRT(AG11^2+AH11^2)*1000/(1.73*AG15)</f>
        <v>87.041921544418869</v>
      </c>
      <c r="AG11" s="1567">
        <v>1.5509999999999999</v>
      </c>
      <c r="AH11" s="1568">
        <v>0</v>
      </c>
      <c r="AI11" s="1566">
        <f>SQRT(AJ11^2+AK11^2)*1000/(1.73*AJ15)</f>
        <v>86.957741736348822</v>
      </c>
      <c r="AJ11" s="1567">
        <v>1.5495000000000001</v>
      </c>
      <c r="AK11" s="1568">
        <v>0</v>
      </c>
      <c r="AL11" s="1566">
        <f>SQRT(AM11^2+AN11^2)*1000/(1.73*AM15)</f>
        <v>86.115943655648451</v>
      </c>
      <c r="AM11" s="1567">
        <v>1.5345</v>
      </c>
      <c r="AN11" s="1568">
        <v>0</v>
      </c>
      <c r="AO11" s="1566">
        <f>SQRT(AP11^2+AQ11^2)*1000/(1.73*AP15)</f>
        <v>86.621022504068677</v>
      </c>
      <c r="AP11" s="1567">
        <v>1.5435000000000001</v>
      </c>
      <c r="AQ11" s="1568">
        <v>0</v>
      </c>
      <c r="AR11" s="1566">
        <f>SQRT(AS11^2+AT11^2)*1000/(1.73*AS15)</f>
        <v>87.462820584769048</v>
      </c>
      <c r="AS11" s="1567">
        <v>1.5585</v>
      </c>
      <c r="AT11" s="1568">
        <v>0</v>
      </c>
      <c r="AU11" s="1566">
        <f>SQRT(AV11^2+AW11^2)*1000/(1.73*AV15)</f>
        <v>87.462820584769048</v>
      </c>
      <c r="AV11" s="1567">
        <v>1.5585</v>
      </c>
      <c r="AW11" s="1568">
        <v>0</v>
      </c>
      <c r="AX11" s="1566">
        <f>SQRT(AY11^2+AZ11^2)*1000/(1.73*AY15)</f>
        <v>87.799539817049208</v>
      </c>
      <c r="AY11" s="1567">
        <v>1.5645</v>
      </c>
      <c r="AZ11" s="1568">
        <v>0</v>
      </c>
      <c r="BA11" s="1566">
        <f>SQRT(BB11^2+BC11^2)*1000/(1.73*BB15)</f>
        <v>88.978057130029725</v>
      </c>
      <c r="BB11" s="1567">
        <v>1.5854999999999999</v>
      </c>
      <c r="BC11" s="1568">
        <v>0</v>
      </c>
      <c r="BD11" s="1566">
        <f>SQRT(BE11^2+BF11^2)*1000/(1.73*BE15)</f>
        <v>91.250911947920741</v>
      </c>
      <c r="BE11" s="1567">
        <v>1.6259999999999999</v>
      </c>
      <c r="BF11" s="1568">
        <v>0</v>
      </c>
      <c r="BG11" s="1566">
        <f>SQRT(BH11^2+BI11^2)*1000/(1.73*BH15)</f>
        <v>89.314776362309885</v>
      </c>
      <c r="BH11" s="1567">
        <v>1.5914999999999999</v>
      </c>
      <c r="BI11" s="1568">
        <v>0</v>
      </c>
      <c r="BJ11" s="1566">
        <f>SQRT(BK11^2+BL11^2)*1000/(1.73*BK15)</f>
        <v>91.503451372130854</v>
      </c>
      <c r="BK11" s="1567">
        <v>1.6305000000000001</v>
      </c>
      <c r="BL11" s="1568">
        <v>0</v>
      </c>
      <c r="BM11" s="1566">
        <f>SQRT(BN11^2+BO11^2)*1000/(1.73*BN15)</f>
        <v>91.250911947920741</v>
      </c>
      <c r="BN11" s="1567">
        <v>1.6259999999999999</v>
      </c>
      <c r="BO11" s="1568">
        <v>0</v>
      </c>
      <c r="BP11" s="1566">
        <f>SQRT(BQ11^2+BR11^2)*1000/(1.73*BQ15)</f>
        <v>91.587631180200901</v>
      </c>
      <c r="BQ11" s="1567">
        <v>1.6319999999999999</v>
      </c>
      <c r="BR11" s="1568">
        <v>0</v>
      </c>
      <c r="BS11" s="1566">
        <f>SQRT(BT11^2+BU11^2)*1000/(1.73*BT15)</f>
        <v>90.745833099500516</v>
      </c>
      <c r="BT11" s="1567">
        <v>1.617</v>
      </c>
      <c r="BU11" s="1568">
        <v>0</v>
      </c>
      <c r="BV11" s="1566">
        <f>SQRT(BW11^2+BX11^2)*1000/(1.73*BW15)</f>
        <v>90.072394634940224</v>
      </c>
      <c r="BW11" s="1567">
        <v>1.605</v>
      </c>
      <c r="BX11" s="1568">
        <v>0</v>
      </c>
      <c r="BY11" s="1566">
        <f>SQRT(BZ11^2+CA11^2)*1000/(1.73*BZ15)</f>
        <v>90.072394634940224</v>
      </c>
      <c r="BZ11" s="1567">
        <v>1.605</v>
      </c>
      <c r="CA11" s="1568">
        <v>0</v>
      </c>
      <c r="CB11" s="1230">
        <f>SUM(I11,L11,O11,R11,U11,X11,AA11,AD11,AG11,AJ11,AM11,AP11,AS11,AV11,AY11,BB11,BE11,BH11,BK11,BN11,BQ11,BT11,BW11,BZ11)</f>
        <v>37.961999999999996</v>
      </c>
      <c r="CC11" s="1230">
        <f t="shared" si="0"/>
        <v>0</v>
      </c>
      <c r="CD11" s="1554"/>
      <c r="CE11" s="1554"/>
      <c r="CF11" s="1554"/>
      <c r="CG11" s="1554"/>
      <c r="CH11" s="1554"/>
      <c r="CI11" s="1554"/>
      <c r="CJ11" s="1554"/>
      <c r="CK11" s="1554"/>
      <c r="CL11" s="1554"/>
      <c r="CM11" s="1554"/>
      <c r="CN11" s="1554"/>
      <c r="CO11" s="1554"/>
      <c r="CP11" s="1554"/>
      <c r="CQ11" s="1554"/>
      <c r="CR11" s="1554"/>
      <c r="CS11" s="1554"/>
      <c r="CT11" s="1554"/>
      <c r="CU11" s="1554"/>
      <c r="CV11" s="1554"/>
      <c r="CW11" s="1554"/>
      <c r="CX11" s="1554"/>
      <c r="CY11" s="1554"/>
      <c r="CZ11" s="1554"/>
      <c r="DA11" s="1554"/>
      <c r="DB11" s="1554"/>
      <c r="DC11" s="1554"/>
      <c r="DD11" s="1554"/>
      <c r="DE11" s="1554"/>
      <c r="DF11" s="1554"/>
      <c r="DG11" s="1554"/>
      <c r="DH11" s="1554"/>
      <c r="DI11" s="1554"/>
      <c r="DJ11" s="1554"/>
      <c r="DK11" s="1554"/>
      <c r="DL11" s="1554"/>
      <c r="DM11" s="1554"/>
      <c r="DN11" s="1554"/>
      <c r="DO11" s="1554"/>
      <c r="DP11" s="1554"/>
      <c r="DQ11" s="1554"/>
      <c r="DR11" s="1554"/>
      <c r="DS11" s="1554"/>
      <c r="DT11" s="1554"/>
      <c r="DU11" s="1554"/>
      <c r="DV11" s="1554"/>
      <c r="DW11" s="1554"/>
      <c r="DX11" s="1554"/>
      <c r="DY11" s="1554"/>
      <c r="DZ11" s="1554"/>
      <c r="EA11" s="1554"/>
      <c r="EB11" s="1554"/>
      <c r="EC11" s="1554"/>
      <c r="ED11" s="1554"/>
      <c r="EE11" s="1554"/>
      <c r="EF11" s="1554"/>
      <c r="EG11" s="1554"/>
      <c r="EH11" s="1554"/>
      <c r="EI11" s="1554"/>
      <c r="EJ11" s="1554"/>
      <c r="EK11" s="1554"/>
      <c r="EL11" s="1554"/>
      <c r="EM11" s="1554"/>
      <c r="EN11" s="1554"/>
      <c r="EO11" s="1554"/>
      <c r="EP11" s="1554"/>
      <c r="EQ11" s="1554"/>
      <c r="ER11" s="1554"/>
      <c r="ES11" s="1554"/>
      <c r="ET11" s="1554"/>
      <c r="EU11" s="1554"/>
      <c r="EV11" s="1554"/>
      <c r="EW11" s="1554"/>
      <c r="EX11" s="1554"/>
      <c r="EY11" s="1554"/>
      <c r="EZ11" s="1554"/>
      <c r="FA11" s="1554"/>
      <c r="FB11" s="1554"/>
      <c r="FC11" s="1554"/>
      <c r="FD11" s="1554"/>
      <c r="FE11" s="1554"/>
      <c r="FF11" s="1554"/>
      <c r="FG11" s="1554"/>
      <c r="FH11" s="1554"/>
      <c r="FI11" s="1554"/>
      <c r="FJ11" s="1554"/>
      <c r="FK11" s="1554"/>
      <c r="FL11" s="1554"/>
      <c r="FM11" s="1554"/>
      <c r="FN11" s="1554"/>
      <c r="FO11" s="1554"/>
      <c r="FP11" s="1554"/>
      <c r="FQ11" s="1554"/>
      <c r="FR11" s="1554"/>
      <c r="FS11" s="1554"/>
      <c r="FT11" s="1554"/>
      <c r="FU11" s="1554"/>
      <c r="FV11" s="1554"/>
      <c r="FW11" s="1554"/>
      <c r="FX11" s="1554"/>
      <c r="FY11" s="1554"/>
      <c r="FZ11" s="1554"/>
      <c r="GA11" s="1554"/>
      <c r="GB11" s="1554"/>
      <c r="GC11" s="1554"/>
      <c r="GD11" s="1554"/>
      <c r="GE11" s="1554"/>
      <c r="GF11" s="1554"/>
      <c r="GG11" s="1554"/>
      <c r="GH11" s="1554"/>
      <c r="GI11" s="1554"/>
      <c r="GJ11" s="1554"/>
      <c r="GK11" s="1554"/>
      <c r="GL11" s="1554"/>
      <c r="GM11" s="1554"/>
      <c r="GN11" s="1554"/>
      <c r="GO11" s="1554"/>
      <c r="GP11" s="1554"/>
      <c r="GQ11" s="1554"/>
      <c r="GR11" s="1554"/>
      <c r="GS11" s="1554"/>
      <c r="GT11" s="1554"/>
      <c r="GU11" s="1554"/>
      <c r="GV11" s="1554"/>
      <c r="GW11" s="1554"/>
      <c r="GX11" s="1554"/>
      <c r="GY11" s="1554"/>
      <c r="GZ11" s="1554"/>
      <c r="HA11" s="1554"/>
      <c r="HB11" s="1554"/>
      <c r="HC11" s="1554"/>
      <c r="HD11" s="1554"/>
      <c r="HE11" s="1554"/>
      <c r="HF11" s="1554"/>
      <c r="HG11" s="1554"/>
      <c r="HH11" s="1554"/>
      <c r="HI11" s="1554"/>
      <c r="HJ11" s="1554"/>
      <c r="HK11" s="1554"/>
      <c r="HL11" s="1554"/>
      <c r="HM11" s="1554"/>
      <c r="HN11" s="1554"/>
      <c r="HO11" s="1554"/>
      <c r="HP11" s="1554"/>
      <c r="HQ11" s="1554"/>
      <c r="HR11" s="1554"/>
      <c r="HS11" s="1554"/>
      <c r="HT11" s="1554"/>
      <c r="HU11" s="1554"/>
      <c r="HV11" s="1554"/>
      <c r="HW11" s="1554"/>
      <c r="HX11" s="1554"/>
      <c r="HY11" s="1554"/>
      <c r="HZ11" s="1554"/>
      <c r="IA11" s="1554"/>
      <c r="IB11" s="1554"/>
      <c r="IC11" s="1554"/>
      <c r="ID11" s="1554"/>
      <c r="IE11" s="1554"/>
      <c r="IF11" s="1554"/>
      <c r="IG11" s="1554"/>
      <c r="IH11" s="1554"/>
      <c r="II11" s="1554"/>
      <c r="IJ11" s="1554"/>
      <c r="IK11" s="1554"/>
      <c r="IL11" s="1554"/>
      <c r="IM11" s="1554"/>
      <c r="IN11" s="1554"/>
      <c r="IO11" s="1554"/>
      <c r="IP11" s="1554"/>
      <c r="IQ11" s="1554"/>
      <c r="IR11" s="1554"/>
      <c r="IS11" s="1554"/>
      <c r="IT11" s="1554"/>
      <c r="IU11" s="1554"/>
      <c r="IV11" s="1554"/>
    </row>
    <row r="12" spans="1:256" ht="13.5" thickBot="1" x14ac:dyDescent="0.25">
      <c r="A12" s="1569"/>
      <c r="B12" s="1570" t="s">
        <v>0</v>
      </c>
      <c r="C12" s="1571">
        <v>40</v>
      </c>
      <c r="D12" s="1572" t="s">
        <v>39</v>
      </c>
      <c r="E12" s="1573"/>
      <c r="F12" s="1573"/>
      <c r="G12" s="1574"/>
      <c r="H12" s="1575"/>
      <c r="I12" s="1576">
        <v>6</v>
      </c>
      <c r="J12" s="1577"/>
      <c r="K12" s="1575"/>
      <c r="L12" s="1576">
        <v>6</v>
      </c>
      <c r="M12" s="1577"/>
      <c r="N12" s="1575"/>
      <c r="O12" s="1576">
        <v>6</v>
      </c>
      <c r="P12" s="1577"/>
      <c r="Q12" s="1575"/>
      <c r="R12" s="1576">
        <v>6</v>
      </c>
      <c r="S12" s="1577"/>
      <c r="T12" s="1575"/>
      <c r="U12" s="1576">
        <v>6</v>
      </c>
      <c r="V12" s="1577"/>
      <c r="W12" s="1575"/>
      <c r="X12" s="1576">
        <v>6</v>
      </c>
      <c r="Y12" s="1577"/>
      <c r="Z12" s="1575"/>
      <c r="AA12" s="1576">
        <v>6</v>
      </c>
      <c r="AB12" s="1577"/>
      <c r="AC12" s="1575"/>
      <c r="AD12" s="1576">
        <v>6</v>
      </c>
      <c r="AE12" s="1577"/>
      <c r="AF12" s="1575"/>
      <c r="AG12" s="1576">
        <v>6</v>
      </c>
      <c r="AH12" s="1577"/>
      <c r="AI12" s="1575"/>
      <c r="AJ12" s="1576">
        <v>6</v>
      </c>
      <c r="AK12" s="1577"/>
      <c r="AL12" s="1575"/>
      <c r="AM12" s="1576">
        <v>6</v>
      </c>
      <c r="AN12" s="1577"/>
      <c r="AO12" s="1575"/>
      <c r="AP12" s="1576">
        <v>6</v>
      </c>
      <c r="AQ12" s="1577"/>
      <c r="AR12" s="1575"/>
      <c r="AS12" s="1576">
        <v>6</v>
      </c>
      <c r="AT12" s="1577"/>
      <c r="AU12" s="1575"/>
      <c r="AV12" s="1576">
        <v>6</v>
      </c>
      <c r="AW12" s="1577"/>
      <c r="AX12" s="1575"/>
      <c r="AY12" s="1576">
        <v>6</v>
      </c>
      <c r="AZ12" s="1577"/>
      <c r="BA12" s="1575"/>
      <c r="BB12" s="1576">
        <v>6</v>
      </c>
      <c r="BC12" s="1577"/>
      <c r="BD12" s="1575"/>
      <c r="BE12" s="1576">
        <v>6</v>
      </c>
      <c r="BF12" s="1577"/>
      <c r="BG12" s="1575"/>
      <c r="BH12" s="1576">
        <v>6</v>
      </c>
      <c r="BI12" s="1577"/>
      <c r="BJ12" s="1575"/>
      <c r="BK12" s="1576">
        <v>6</v>
      </c>
      <c r="BL12" s="1577"/>
      <c r="BM12" s="1575"/>
      <c r="BN12" s="1576">
        <v>6</v>
      </c>
      <c r="BO12" s="1577"/>
      <c r="BP12" s="1575"/>
      <c r="BQ12" s="1576">
        <v>6</v>
      </c>
      <c r="BR12" s="1577"/>
      <c r="BS12" s="1575"/>
      <c r="BT12" s="1576">
        <v>6</v>
      </c>
      <c r="BU12" s="1577"/>
      <c r="BV12" s="1575"/>
      <c r="BW12" s="1576">
        <v>6</v>
      </c>
      <c r="BX12" s="1577"/>
      <c r="BY12" s="1575"/>
      <c r="BZ12" s="1576">
        <v>6</v>
      </c>
      <c r="CA12" s="1577"/>
      <c r="CB12" s="1554"/>
      <c r="CC12" s="1554"/>
      <c r="CD12" s="1554"/>
      <c r="CE12" s="1554"/>
      <c r="CF12" s="1554"/>
      <c r="CG12" s="1554"/>
      <c r="CH12" s="1554"/>
      <c r="CI12" s="1554"/>
      <c r="CJ12" s="1554"/>
      <c r="CK12" s="1554"/>
      <c r="CL12" s="1554"/>
      <c r="CM12" s="1554"/>
      <c r="CN12" s="1554"/>
      <c r="CO12" s="1554"/>
      <c r="CP12" s="1554"/>
      <c r="CQ12" s="1554"/>
      <c r="CR12" s="1554"/>
      <c r="CS12" s="1554"/>
      <c r="CT12" s="1554"/>
      <c r="CU12" s="1554"/>
      <c r="CV12" s="1554"/>
      <c r="CW12" s="1554"/>
      <c r="CX12" s="1554"/>
      <c r="CY12" s="1554"/>
      <c r="CZ12" s="1554"/>
      <c r="DA12" s="1554"/>
      <c r="DB12" s="1554"/>
      <c r="DC12" s="1554"/>
      <c r="DD12" s="1554"/>
      <c r="DE12" s="1554"/>
      <c r="DF12" s="1554"/>
      <c r="DG12" s="1554"/>
      <c r="DH12" s="1554"/>
      <c r="DI12" s="1554"/>
      <c r="DJ12" s="1554"/>
      <c r="DK12" s="1554"/>
      <c r="DL12" s="1554"/>
      <c r="DM12" s="1554"/>
      <c r="DN12" s="1554"/>
      <c r="DO12" s="1554"/>
      <c r="DP12" s="1554"/>
      <c r="DQ12" s="1554"/>
      <c r="DR12" s="1554"/>
      <c r="DS12" s="1554"/>
      <c r="DT12" s="1554"/>
      <c r="DU12" s="1554"/>
      <c r="DV12" s="1554"/>
      <c r="DW12" s="1554"/>
      <c r="DX12" s="1554"/>
      <c r="DY12" s="1554"/>
      <c r="DZ12" s="1554"/>
      <c r="EA12" s="1554"/>
      <c r="EB12" s="1554"/>
      <c r="EC12" s="1554"/>
      <c r="ED12" s="1554"/>
      <c r="EE12" s="1554"/>
      <c r="EF12" s="1554"/>
      <c r="EG12" s="1554"/>
      <c r="EH12" s="1554"/>
      <c r="EI12" s="1554"/>
      <c r="EJ12" s="1554"/>
      <c r="EK12" s="1554"/>
      <c r="EL12" s="1554"/>
      <c r="EM12" s="1554"/>
      <c r="EN12" s="1554"/>
      <c r="EO12" s="1554"/>
      <c r="EP12" s="1554"/>
      <c r="EQ12" s="1554"/>
      <c r="ER12" s="1554"/>
      <c r="ES12" s="1554"/>
      <c r="ET12" s="1554"/>
      <c r="EU12" s="1554"/>
      <c r="EV12" s="1554"/>
      <c r="EW12" s="1554"/>
      <c r="EX12" s="1554"/>
      <c r="EY12" s="1554"/>
      <c r="EZ12" s="1554"/>
      <c r="FA12" s="1554"/>
      <c r="FB12" s="1554"/>
      <c r="FC12" s="1554"/>
      <c r="FD12" s="1554"/>
      <c r="FE12" s="1554"/>
      <c r="FF12" s="1554"/>
      <c r="FG12" s="1554"/>
      <c r="FH12" s="1554"/>
      <c r="FI12" s="1554"/>
      <c r="FJ12" s="1554"/>
      <c r="FK12" s="1554"/>
      <c r="FL12" s="1554"/>
      <c r="FM12" s="1554"/>
      <c r="FN12" s="1554"/>
      <c r="FO12" s="1554"/>
      <c r="FP12" s="1554"/>
      <c r="FQ12" s="1554"/>
      <c r="FR12" s="1554"/>
      <c r="FS12" s="1554"/>
      <c r="FT12" s="1554"/>
      <c r="FU12" s="1554"/>
      <c r="FV12" s="1554"/>
      <c r="FW12" s="1554"/>
      <c r="FX12" s="1554"/>
      <c r="FY12" s="1554"/>
      <c r="FZ12" s="1554"/>
      <c r="GA12" s="1554"/>
      <c r="GB12" s="1554"/>
      <c r="GC12" s="1554"/>
      <c r="GD12" s="1554"/>
      <c r="GE12" s="1554"/>
      <c r="GF12" s="1554"/>
      <c r="GG12" s="1554"/>
      <c r="GH12" s="1554"/>
      <c r="GI12" s="1554"/>
      <c r="GJ12" s="1554"/>
      <c r="GK12" s="1554"/>
      <c r="GL12" s="1554"/>
      <c r="GM12" s="1554"/>
      <c r="GN12" s="1554"/>
      <c r="GO12" s="1554"/>
      <c r="GP12" s="1554"/>
      <c r="GQ12" s="1554"/>
      <c r="GR12" s="1554"/>
      <c r="GS12" s="1554"/>
      <c r="GT12" s="1554"/>
      <c r="GU12" s="1554"/>
      <c r="GV12" s="1554"/>
      <c r="GW12" s="1554"/>
      <c r="GX12" s="1554"/>
      <c r="GY12" s="1554"/>
      <c r="GZ12" s="1554"/>
      <c r="HA12" s="1554"/>
      <c r="HB12" s="1554"/>
      <c r="HC12" s="1554"/>
      <c r="HD12" s="1554"/>
      <c r="HE12" s="1554"/>
      <c r="HF12" s="1554"/>
      <c r="HG12" s="1554"/>
      <c r="HH12" s="1554"/>
      <c r="HI12" s="1554"/>
      <c r="HJ12" s="1554"/>
      <c r="HK12" s="1554"/>
      <c r="HL12" s="1554"/>
      <c r="HM12" s="1554"/>
      <c r="HN12" s="1554"/>
      <c r="HO12" s="1554"/>
      <c r="HP12" s="1554"/>
      <c r="HQ12" s="1554"/>
      <c r="HR12" s="1554"/>
      <c r="HS12" s="1554"/>
      <c r="HT12" s="1554"/>
      <c r="HU12" s="1554"/>
      <c r="HV12" s="1554"/>
      <c r="HW12" s="1554"/>
      <c r="HX12" s="1554"/>
      <c r="HY12" s="1554"/>
      <c r="HZ12" s="1554"/>
      <c r="IA12" s="1554"/>
      <c r="IB12" s="1554"/>
      <c r="IC12" s="1554"/>
      <c r="ID12" s="1554"/>
      <c r="IE12" s="1554"/>
      <c r="IF12" s="1554"/>
      <c r="IG12" s="1554"/>
      <c r="IH12" s="1554"/>
      <c r="II12" s="1554"/>
      <c r="IJ12" s="1554"/>
      <c r="IK12" s="1554"/>
      <c r="IL12" s="1554"/>
      <c r="IM12" s="1554"/>
      <c r="IN12" s="1554"/>
      <c r="IO12" s="1554"/>
      <c r="IP12" s="1554"/>
      <c r="IQ12" s="1554"/>
      <c r="IR12" s="1554"/>
      <c r="IS12" s="1554"/>
      <c r="IT12" s="1554"/>
      <c r="IU12" s="1554"/>
      <c r="IV12" s="1554"/>
    </row>
    <row r="13" spans="1:256" x14ac:dyDescent="0.2">
      <c r="A13" s="1569"/>
      <c r="B13" s="1578"/>
      <c r="C13" s="1571"/>
      <c r="D13" s="1579"/>
      <c r="E13" s="1580"/>
      <c r="F13" s="1581" t="s">
        <v>33</v>
      </c>
      <c r="G13" s="1582"/>
      <c r="H13" s="1583"/>
      <c r="I13" s="1584">
        <v>117</v>
      </c>
      <c r="J13" s="1585"/>
      <c r="K13" s="1583"/>
      <c r="L13" s="1584">
        <v>117</v>
      </c>
      <c r="M13" s="1585"/>
      <c r="N13" s="1583"/>
      <c r="O13" s="1584">
        <v>117</v>
      </c>
      <c r="P13" s="1585"/>
      <c r="Q13" s="1583"/>
      <c r="R13" s="1584">
        <v>117</v>
      </c>
      <c r="S13" s="1585"/>
      <c r="T13" s="1583"/>
      <c r="U13" s="1584">
        <v>117</v>
      </c>
      <c r="V13" s="1585"/>
      <c r="W13" s="1583"/>
      <c r="X13" s="1584">
        <v>117</v>
      </c>
      <c r="Y13" s="1585"/>
      <c r="Z13" s="1583"/>
      <c r="AA13" s="1584">
        <v>117</v>
      </c>
      <c r="AB13" s="1585"/>
      <c r="AC13" s="1583"/>
      <c r="AD13" s="1584">
        <v>117</v>
      </c>
      <c r="AE13" s="1585"/>
      <c r="AF13" s="1583"/>
      <c r="AG13" s="1584">
        <v>117</v>
      </c>
      <c r="AH13" s="1585"/>
      <c r="AI13" s="1583"/>
      <c r="AJ13" s="1584">
        <v>117</v>
      </c>
      <c r="AK13" s="1585"/>
      <c r="AL13" s="1583"/>
      <c r="AM13" s="1584">
        <v>117</v>
      </c>
      <c r="AN13" s="1585"/>
      <c r="AO13" s="1583"/>
      <c r="AP13" s="1584">
        <v>117</v>
      </c>
      <c r="AQ13" s="1585"/>
      <c r="AR13" s="1583"/>
      <c r="AS13" s="1584">
        <v>117</v>
      </c>
      <c r="AT13" s="1585"/>
      <c r="AU13" s="1583"/>
      <c r="AV13" s="1584">
        <v>117</v>
      </c>
      <c r="AW13" s="1585"/>
      <c r="AX13" s="1583"/>
      <c r="AY13" s="1584">
        <v>117</v>
      </c>
      <c r="AZ13" s="1585"/>
      <c r="BA13" s="1583"/>
      <c r="BB13" s="1584">
        <v>117</v>
      </c>
      <c r="BC13" s="1585"/>
      <c r="BD13" s="1583"/>
      <c r="BE13" s="1584">
        <v>117</v>
      </c>
      <c r="BF13" s="1585"/>
      <c r="BG13" s="1583"/>
      <c r="BH13" s="1584">
        <v>117</v>
      </c>
      <c r="BI13" s="1585"/>
      <c r="BJ13" s="1583"/>
      <c r="BK13" s="1584">
        <v>117</v>
      </c>
      <c r="BL13" s="1585"/>
      <c r="BM13" s="1583"/>
      <c r="BN13" s="1584">
        <v>117</v>
      </c>
      <c r="BO13" s="1585"/>
      <c r="BP13" s="1583"/>
      <c r="BQ13" s="1584">
        <v>117</v>
      </c>
      <c r="BR13" s="1585"/>
      <c r="BS13" s="1583"/>
      <c r="BT13" s="1584">
        <v>117</v>
      </c>
      <c r="BU13" s="1585"/>
      <c r="BV13" s="1583"/>
      <c r="BW13" s="1584">
        <v>117</v>
      </c>
      <c r="BX13" s="1585"/>
      <c r="BY13" s="1583"/>
      <c r="BZ13" s="1584">
        <v>117</v>
      </c>
      <c r="CA13" s="1585"/>
      <c r="CB13" s="1554"/>
      <c r="CC13" s="1554"/>
      <c r="CD13" s="1554"/>
      <c r="CE13" s="1554"/>
      <c r="CF13" s="1554"/>
      <c r="CG13" s="1554"/>
      <c r="CH13" s="1554"/>
      <c r="CI13" s="1554"/>
      <c r="CJ13" s="1554"/>
      <c r="CK13" s="1554"/>
      <c r="CL13" s="1554"/>
      <c r="CM13" s="1554"/>
      <c r="CN13" s="1554"/>
      <c r="CO13" s="1554"/>
      <c r="CP13" s="1554"/>
      <c r="CQ13" s="1554"/>
      <c r="CR13" s="1554"/>
      <c r="CS13" s="1554"/>
      <c r="CT13" s="1554"/>
      <c r="CU13" s="1554"/>
      <c r="CV13" s="1554"/>
      <c r="CW13" s="1554"/>
      <c r="CX13" s="1554"/>
      <c r="CY13" s="1554"/>
      <c r="CZ13" s="1554"/>
      <c r="DA13" s="1554"/>
      <c r="DB13" s="1554"/>
      <c r="DC13" s="1554"/>
      <c r="DD13" s="1554"/>
      <c r="DE13" s="1554"/>
      <c r="DF13" s="1554"/>
      <c r="DG13" s="1554"/>
      <c r="DH13" s="1554"/>
      <c r="DI13" s="1554"/>
      <c r="DJ13" s="1554"/>
      <c r="DK13" s="1554"/>
      <c r="DL13" s="1554"/>
      <c r="DM13" s="1554"/>
      <c r="DN13" s="1554"/>
      <c r="DO13" s="1554"/>
      <c r="DP13" s="1554"/>
      <c r="DQ13" s="1554"/>
      <c r="DR13" s="1554"/>
      <c r="DS13" s="1554"/>
      <c r="DT13" s="1554"/>
      <c r="DU13" s="1554"/>
      <c r="DV13" s="1554"/>
      <c r="DW13" s="1554"/>
      <c r="DX13" s="1554"/>
      <c r="DY13" s="1554"/>
      <c r="DZ13" s="1554"/>
      <c r="EA13" s="1554"/>
      <c r="EB13" s="1554"/>
      <c r="EC13" s="1554"/>
      <c r="ED13" s="1554"/>
      <c r="EE13" s="1554"/>
      <c r="EF13" s="1554"/>
      <c r="EG13" s="1554"/>
      <c r="EH13" s="1554"/>
      <c r="EI13" s="1554"/>
      <c r="EJ13" s="1554"/>
      <c r="EK13" s="1554"/>
      <c r="EL13" s="1554"/>
      <c r="EM13" s="1554"/>
      <c r="EN13" s="1554"/>
      <c r="EO13" s="1554"/>
      <c r="EP13" s="1554"/>
      <c r="EQ13" s="1554"/>
      <c r="ER13" s="1554"/>
      <c r="ES13" s="1554"/>
      <c r="ET13" s="1554"/>
      <c r="EU13" s="1554"/>
      <c r="EV13" s="1554"/>
      <c r="EW13" s="1554"/>
      <c r="EX13" s="1554"/>
      <c r="EY13" s="1554"/>
      <c r="EZ13" s="1554"/>
      <c r="FA13" s="1554"/>
      <c r="FB13" s="1554"/>
      <c r="FC13" s="1554"/>
      <c r="FD13" s="1554"/>
      <c r="FE13" s="1554"/>
      <c r="FF13" s="1554"/>
      <c r="FG13" s="1554"/>
      <c r="FH13" s="1554"/>
      <c r="FI13" s="1554"/>
      <c r="FJ13" s="1554"/>
      <c r="FK13" s="1554"/>
      <c r="FL13" s="1554"/>
      <c r="FM13" s="1554"/>
      <c r="FN13" s="1554"/>
      <c r="FO13" s="1554"/>
      <c r="FP13" s="1554"/>
      <c r="FQ13" s="1554"/>
      <c r="FR13" s="1554"/>
      <c r="FS13" s="1554"/>
      <c r="FT13" s="1554"/>
      <c r="FU13" s="1554"/>
      <c r="FV13" s="1554"/>
      <c r="FW13" s="1554"/>
      <c r="FX13" s="1554"/>
      <c r="FY13" s="1554"/>
      <c r="FZ13" s="1554"/>
      <c r="GA13" s="1554"/>
      <c r="GB13" s="1554"/>
      <c r="GC13" s="1554"/>
      <c r="GD13" s="1554"/>
      <c r="GE13" s="1554"/>
      <c r="GF13" s="1554"/>
      <c r="GG13" s="1554"/>
      <c r="GH13" s="1554"/>
      <c r="GI13" s="1554"/>
      <c r="GJ13" s="1554"/>
      <c r="GK13" s="1554"/>
      <c r="GL13" s="1554"/>
      <c r="GM13" s="1554"/>
      <c r="GN13" s="1554"/>
      <c r="GO13" s="1554"/>
      <c r="GP13" s="1554"/>
      <c r="GQ13" s="1554"/>
      <c r="GR13" s="1554"/>
      <c r="GS13" s="1554"/>
      <c r="GT13" s="1554"/>
      <c r="GU13" s="1554"/>
      <c r="GV13" s="1554"/>
      <c r="GW13" s="1554"/>
      <c r="GX13" s="1554"/>
      <c r="GY13" s="1554"/>
      <c r="GZ13" s="1554"/>
      <c r="HA13" s="1554"/>
      <c r="HB13" s="1554"/>
      <c r="HC13" s="1554"/>
      <c r="HD13" s="1554"/>
      <c r="HE13" s="1554"/>
      <c r="HF13" s="1554"/>
      <c r="HG13" s="1554"/>
      <c r="HH13" s="1554"/>
      <c r="HI13" s="1554"/>
      <c r="HJ13" s="1554"/>
      <c r="HK13" s="1554"/>
      <c r="HL13" s="1554"/>
      <c r="HM13" s="1554"/>
      <c r="HN13" s="1554"/>
      <c r="HO13" s="1554"/>
      <c r="HP13" s="1554"/>
      <c r="HQ13" s="1554"/>
      <c r="HR13" s="1554"/>
      <c r="HS13" s="1554"/>
      <c r="HT13" s="1554"/>
      <c r="HU13" s="1554"/>
      <c r="HV13" s="1554"/>
      <c r="HW13" s="1554"/>
      <c r="HX13" s="1554"/>
      <c r="HY13" s="1554"/>
      <c r="HZ13" s="1554"/>
      <c r="IA13" s="1554"/>
      <c r="IB13" s="1554"/>
      <c r="IC13" s="1554"/>
      <c r="ID13" s="1554"/>
      <c r="IE13" s="1554"/>
      <c r="IF13" s="1554"/>
      <c r="IG13" s="1554"/>
      <c r="IH13" s="1554"/>
      <c r="II13" s="1554"/>
      <c r="IJ13" s="1554"/>
      <c r="IK13" s="1554"/>
      <c r="IL13" s="1554"/>
      <c r="IM13" s="1554"/>
      <c r="IN13" s="1554"/>
      <c r="IO13" s="1554"/>
      <c r="IP13" s="1554"/>
      <c r="IQ13" s="1554"/>
      <c r="IR13" s="1554"/>
      <c r="IS13" s="1554"/>
      <c r="IT13" s="1554"/>
      <c r="IU13" s="1554"/>
      <c r="IV13" s="1554"/>
    </row>
    <row r="14" spans="1:256" x14ac:dyDescent="0.2">
      <c r="A14" s="1579"/>
      <c r="B14" s="1570"/>
      <c r="C14" s="1571"/>
      <c r="D14" s="1579" t="s">
        <v>14</v>
      </c>
      <c r="E14" s="1570"/>
      <c r="F14" s="1586" t="s">
        <v>36</v>
      </c>
      <c r="G14" s="1587"/>
      <c r="H14" s="1588"/>
      <c r="I14" s="1589">
        <v>36.4</v>
      </c>
      <c r="J14" s="1590"/>
      <c r="K14" s="1588"/>
      <c r="L14" s="1589">
        <v>36.4</v>
      </c>
      <c r="M14" s="1590"/>
      <c r="N14" s="1588"/>
      <c r="O14" s="1589">
        <v>36.4</v>
      </c>
      <c r="P14" s="1590"/>
      <c r="Q14" s="1588"/>
      <c r="R14" s="1589">
        <v>36.4</v>
      </c>
      <c r="S14" s="1590"/>
      <c r="T14" s="1588"/>
      <c r="U14" s="1589">
        <v>36.4</v>
      </c>
      <c r="V14" s="1590"/>
      <c r="W14" s="1588"/>
      <c r="X14" s="1589">
        <v>36.4</v>
      </c>
      <c r="Y14" s="1590"/>
      <c r="Z14" s="1588"/>
      <c r="AA14" s="1589">
        <v>36.4</v>
      </c>
      <c r="AB14" s="1590"/>
      <c r="AC14" s="1588"/>
      <c r="AD14" s="1589">
        <v>36.4</v>
      </c>
      <c r="AE14" s="1590"/>
      <c r="AF14" s="1588"/>
      <c r="AG14" s="1589">
        <v>36.4</v>
      </c>
      <c r="AH14" s="1590"/>
      <c r="AI14" s="1588"/>
      <c r="AJ14" s="1589">
        <v>36.4</v>
      </c>
      <c r="AK14" s="1590"/>
      <c r="AL14" s="1588"/>
      <c r="AM14" s="1589">
        <v>36.4</v>
      </c>
      <c r="AN14" s="1590"/>
      <c r="AO14" s="1588"/>
      <c r="AP14" s="1589">
        <v>36.4</v>
      </c>
      <c r="AQ14" s="1590"/>
      <c r="AR14" s="1588"/>
      <c r="AS14" s="1589">
        <v>36.4</v>
      </c>
      <c r="AT14" s="1590"/>
      <c r="AU14" s="1588"/>
      <c r="AV14" s="1589">
        <v>36.4</v>
      </c>
      <c r="AW14" s="1590"/>
      <c r="AX14" s="1588"/>
      <c r="AY14" s="1589">
        <v>36.4</v>
      </c>
      <c r="AZ14" s="1590"/>
      <c r="BA14" s="1588"/>
      <c r="BB14" s="1589">
        <v>36.4</v>
      </c>
      <c r="BC14" s="1590"/>
      <c r="BD14" s="1588"/>
      <c r="BE14" s="1589">
        <v>36.4</v>
      </c>
      <c r="BF14" s="1590"/>
      <c r="BG14" s="1588"/>
      <c r="BH14" s="1589">
        <v>36.4</v>
      </c>
      <c r="BI14" s="1590"/>
      <c r="BJ14" s="1588"/>
      <c r="BK14" s="1589">
        <v>36.4</v>
      </c>
      <c r="BL14" s="1590"/>
      <c r="BM14" s="1588"/>
      <c r="BN14" s="1589">
        <v>36.4</v>
      </c>
      <c r="BO14" s="1590"/>
      <c r="BP14" s="1588"/>
      <c r="BQ14" s="1589">
        <v>36.4</v>
      </c>
      <c r="BR14" s="1590"/>
      <c r="BS14" s="1588"/>
      <c r="BT14" s="1589">
        <v>36.4</v>
      </c>
      <c r="BU14" s="1590"/>
      <c r="BV14" s="1588"/>
      <c r="BW14" s="1589">
        <v>36.4</v>
      </c>
      <c r="BX14" s="1590"/>
      <c r="BY14" s="1588"/>
      <c r="BZ14" s="1589">
        <v>36.4</v>
      </c>
      <c r="CA14" s="1590"/>
      <c r="CB14" s="1554"/>
      <c r="CC14" s="1554"/>
      <c r="CD14" s="1554"/>
      <c r="CE14" s="1554"/>
      <c r="CF14" s="1554"/>
      <c r="CG14" s="1554"/>
      <c r="CH14" s="1554"/>
      <c r="CI14" s="1554"/>
      <c r="CJ14" s="1554"/>
      <c r="CK14" s="1554"/>
      <c r="CL14" s="1554"/>
      <c r="CM14" s="1554"/>
      <c r="CN14" s="1554"/>
      <c r="CO14" s="1554"/>
      <c r="CP14" s="1554"/>
      <c r="CQ14" s="1554"/>
      <c r="CR14" s="1554"/>
      <c r="CS14" s="1554"/>
      <c r="CT14" s="1554"/>
      <c r="CU14" s="1554"/>
      <c r="CV14" s="1554"/>
      <c r="CW14" s="1554"/>
      <c r="CX14" s="1554"/>
      <c r="CY14" s="1554"/>
      <c r="CZ14" s="1554"/>
      <c r="DA14" s="1554"/>
      <c r="DB14" s="1554"/>
      <c r="DC14" s="1554"/>
      <c r="DD14" s="1554"/>
      <c r="DE14" s="1554"/>
      <c r="DF14" s="1554"/>
      <c r="DG14" s="1554"/>
      <c r="DH14" s="1554"/>
      <c r="DI14" s="1554"/>
      <c r="DJ14" s="1554"/>
      <c r="DK14" s="1554"/>
      <c r="DL14" s="1554"/>
      <c r="DM14" s="1554"/>
      <c r="DN14" s="1554"/>
      <c r="DO14" s="1554"/>
      <c r="DP14" s="1554"/>
      <c r="DQ14" s="1554"/>
      <c r="DR14" s="1554"/>
      <c r="DS14" s="1554"/>
      <c r="DT14" s="1554"/>
      <c r="DU14" s="1554"/>
      <c r="DV14" s="1554"/>
      <c r="DW14" s="1554"/>
      <c r="DX14" s="1554"/>
      <c r="DY14" s="1554"/>
      <c r="DZ14" s="1554"/>
      <c r="EA14" s="1554"/>
      <c r="EB14" s="1554"/>
      <c r="EC14" s="1554"/>
      <c r="ED14" s="1554"/>
      <c r="EE14" s="1554"/>
      <c r="EF14" s="1554"/>
      <c r="EG14" s="1554"/>
      <c r="EH14" s="1554"/>
      <c r="EI14" s="1554"/>
      <c r="EJ14" s="1554"/>
      <c r="EK14" s="1554"/>
      <c r="EL14" s="1554"/>
      <c r="EM14" s="1554"/>
      <c r="EN14" s="1554"/>
      <c r="EO14" s="1554"/>
      <c r="EP14" s="1554"/>
      <c r="EQ14" s="1554"/>
      <c r="ER14" s="1554"/>
      <c r="ES14" s="1554"/>
      <c r="ET14" s="1554"/>
      <c r="EU14" s="1554"/>
      <c r="EV14" s="1554"/>
      <c r="EW14" s="1554"/>
      <c r="EX14" s="1554"/>
      <c r="EY14" s="1554"/>
      <c r="EZ14" s="1554"/>
      <c r="FA14" s="1554"/>
      <c r="FB14" s="1554"/>
      <c r="FC14" s="1554"/>
      <c r="FD14" s="1554"/>
      <c r="FE14" s="1554"/>
      <c r="FF14" s="1554"/>
      <c r="FG14" s="1554"/>
      <c r="FH14" s="1554"/>
      <c r="FI14" s="1554"/>
      <c r="FJ14" s="1554"/>
      <c r="FK14" s="1554"/>
      <c r="FL14" s="1554"/>
      <c r="FM14" s="1554"/>
      <c r="FN14" s="1554"/>
      <c r="FO14" s="1554"/>
      <c r="FP14" s="1554"/>
      <c r="FQ14" s="1554"/>
      <c r="FR14" s="1554"/>
      <c r="FS14" s="1554"/>
      <c r="FT14" s="1554"/>
      <c r="FU14" s="1554"/>
      <c r="FV14" s="1554"/>
      <c r="FW14" s="1554"/>
      <c r="FX14" s="1554"/>
      <c r="FY14" s="1554"/>
      <c r="FZ14" s="1554"/>
      <c r="GA14" s="1554"/>
      <c r="GB14" s="1554"/>
      <c r="GC14" s="1554"/>
      <c r="GD14" s="1554"/>
      <c r="GE14" s="1554"/>
      <c r="GF14" s="1554"/>
      <c r="GG14" s="1554"/>
      <c r="GH14" s="1554"/>
      <c r="GI14" s="1554"/>
      <c r="GJ14" s="1554"/>
      <c r="GK14" s="1554"/>
      <c r="GL14" s="1554"/>
      <c r="GM14" s="1554"/>
      <c r="GN14" s="1554"/>
      <c r="GO14" s="1554"/>
      <c r="GP14" s="1554"/>
      <c r="GQ14" s="1554"/>
      <c r="GR14" s="1554"/>
      <c r="GS14" s="1554"/>
      <c r="GT14" s="1554"/>
      <c r="GU14" s="1554"/>
      <c r="GV14" s="1554"/>
      <c r="GW14" s="1554"/>
      <c r="GX14" s="1554"/>
      <c r="GY14" s="1554"/>
      <c r="GZ14" s="1554"/>
      <c r="HA14" s="1554"/>
      <c r="HB14" s="1554"/>
      <c r="HC14" s="1554"/>
      <c r="HD14" s="1554"/>
      <c r="HE14" s="1554"/>
      <c r="HF14" s="1554"/>
      <c r="HG14" s="1554"/>
      <c r="HH14" s="1554"/>
      <c r="HI14" s="1554"/>
      <c r="HJ14" s="1554"/>
      <c r="HK14" s="1554"/>
      <c r="HL14" s="1554"/>
      <c r="HM14" s="1554"/>
      <c r="HN14" s="1554"/>
      <c r="HO14" s="1554"/>
      <c r="HP14" s="1554"/>
      <c r="HQ14" s="1554"/>
      <c r="HR14" s="1554"/>
      <c r="HS14" s="1554"/>
      <c r="HT14" s="1554"/>
      <c r="HU14" s="1554"/>
      <c r="HV14" s="1554"/>
      <c r="HW14" s="1554"/>
      <c r="HX14" s="1554"/>
      <c r="HY14" s="1554"/>
      <c r="HZ14" s="1554"/>
      <c r="IA14" s="1554"/>
      <c r="IB14" s="1554"/>
      <c r="IC14" s="1554"/>
      <c r="ID14" s="1554"/>
      <c r="IE14" s="1554"/>
      <c r="IF14" s="1554"/>
      <c r="IG14" s="1554"/>
      <c r="IH14" s="1554"/>
      <c r="II14" s="1554"/>
      <c r="IJ14" s="1554"/>
      <c r="IK14" s="1554"/>
      <c r="IL14" s="1554"/>
      <c r="IM14" s="1554"/>
      <c r="IN14" s="1554"/>
      <c r="IO14" s="1554"/>
      <c r="IP14" s="1554"/>
      <c r="IQ14" s="1554"/>
      <c r="IR14" s="1554"/>
      <c r="IS14" s="1554"/>
      <c r="IT14" s="1554"/>
      <c r="IU14" s="1554"/>
      <c r="IV14" s="1554"/>
    </row>
    <row r="15" spans="1:256" ht="13.5" thickBot="1" x14ac:dyDescent="0.25">
      <c r="A15" s="1579"/>
      <c r="B15" s="1570"/>
      <c r="C15" s="1580"/>
      <c r="D15" s="1579"/>
      <c r="E15" s="1570"/>
      <c r="F15" s="1565" t="s">
        <v>34</v>
      </c>
      <c r="G15" s="1591"/>
      <c r="H15" s="1588"/>
      <c r="I15" s="1592">
        <v>10.3</v>
      </c>
      <c r="J15" s="1593"/>
      <c r="K15" s="1588"/>
      <c r="L15" s="1592">
        <v>10.3</v>
      </c>
      <c r="M15" s="1593"/>
      <c r="N15" s="1588"/>
      <c r="O15" s="1592">
        <v>10.3</v>
      </c>
      <c r="P15" s="1593"/>
      <c r="Q15" s="1588"/>
      <c r="R15" s="1592">
        <v>10.3</v>
      </c>
      <c r="S15" s="1593"/>
      <c r="T15" s="1588"/>
      <c r="U15" s="1592">
        <v>10.3</v>
      </c>
      <c r="V15" s="1593"/>
      <c r="W15" s="1588"/>
      <c r="X15" s="1592">
        <v>10.3</v>
      </c>
      <c r="Y15" s="1593"/>
      <c r="Z15" s="1588"/>
      <c r="AA15" s="1592">
        <v>10.3</v>
      </c>
      <c r="AB15" s="1593"/>
      <c r="AC15" s="1588"/>
      <c r="AD15" s="1592">
        <v>10.3</v>
      </c>
      <c r="AE15" s="1593"/>
      <c r="AF15" s="1588"/>
      <c r="AG15" s="1592">
        <v>10.3</v>
      </c>
      <c r="AH15" s="1593"/>
      <c r="AI15" s="1588"/>
      <c r="AJ15" s="1592">
        <v>10.3</v>
      </c>
      <c r="AK15" s="1593"/>
      <c r="AL15" s="1588"/>
      <c r="AM15" s="1592">
        <v>10.3</v>
      </c>
      <c r="AN15" s="1593"/>
      <c r="AO15" s="1588"/>
      <c r="AP15" s="1592">
        <v>10.3</v>
      </c>
      <c r="AQ15" s="1593"/>
      <c r="AR15" s="1588"/>
      <c r="AS15" s="1592">
        <v>10.3</v>
      </c>
      <c r="AT15" s="1593"/>
      <c r="AU15" s="1588"/>
      <c r="AV15" s="1592">
        <v>10.3</v>
      </c>
      <c r="AW15" s="1593"/>
      <c r="AX15" s="1588"/>
      <c r="AY15" s="1592">
        <v>10.3</v>
      </c>
      <c r="AZ15" s="1593"/>
      <c r="BA15" s="1588"/>
      <c r="BB15" s="1592">
        <v>10.3</v>
      </c>
      <c r="BC15" s="1593"/>
      <c r="BD15" s="1588"/>
      <c r="BE15" s="1592">
        <v>10.3</v>
      </c>
      <c r="BF15" s="1593"/>
      <c r="BG15" s="1588"/>
      <c r="BH15" s="1592">
        <v>10.3</v>
      </c>
      <c r="BI15" s="1593"/>
      <c r="BJ15" s="1588"/>
      <c r="BK15" s="1592">
        <v>10.3</v>
      </c>
      <c r="BL15" s="1593"/>
      <c r="BM15" s="1588"/>
      <c r="BN15" s="1592">
        <v>10.3</v>
      </c>
      <c r="BO15" s="1593"/>
      <c r="BP15" s="1588"/>
      <c r="BQ15" s="1592">
        <v>10.3</v>
      </c>
      <c r="BR15" s="1593"/>
      <c r="BS15" s="1588"/>
      <c r="BT15" s="1592">
        <v>10.3</v>
      </c>
      <c r="BU15" s="1593"/>
      <c r="BV15" s="1588"/>
      <c r="BW15" s="1592">
        <v>10.3</v>
      </c>
      <c r="BX15" s="1593"/>
      <c r="BY15" s="1588"/>
      <c r="BZ15" s="1592">
        <v>10.3</v>
      </c>
      <c r="CA15" s="1593"/>
      <c r="CB15" s="1554"/>
      <c r="CC15" s="1554"/>
      <c r="CD15" s="1554"/>
      <c r="CE15" s="1554"/>
      <c r="CF15" s="1554"/>
      <c r="CG15" s="1554"/>
      <c r="CH15" s="1554"/>
      <c r="CI15" s="1554"/>
      <c r="CJ15" s="1554"/>
      <c r="CK15" s="1554"/>
      <c r="CL15" s="1554"/>
      <c r="CM15" s="1554"/>
      <c r="CN15" s="1554"/>
      <c r="CO15" s="1554"/>
      <c r="CP15" s="1554"/>
      <c r="CQ15" s="1554"/>
      <c r="CR15" s="1554"/>
      <c r="CS15" s="1554"/>
      <c r="CT15" s="1554"/>
      <c r="CU15" s="1554"/>
      <c r="CV15" s="1554"/>
      <c r="CW15" s="1554"/>
      <c r="CX15" s="1554"/>
      <c r="CY15" s="1554"/>
      <c r="CZ15" s="1554"/>
      <c r="DA15" s="1554"/>
      <c r="DB15" s="1554"/>
      <c r="DC15" s="1554"/>
      <c r="DD15" s="1554"/>
      <c r="DE15" s="1554"/>
      <c r="DF15" s="1554"/>
      <c r="DG15" s="1554"/>
      <c r="DH15" s="1554"/>
      <c r="DI15" s="1554"/>
      <c r="DJ15" s="1554"/>
      <c r="DK15" s="1554"/>
      <c r="DL15" s="1554"/>
      <c r="DM15" s="1554"/>
      <c r="DN15" s="1554"/>
      <c r="DO15" s="1554"/>
      <c r="DP15" s="1554"/>
      <c r="DQ15" s="1554"/>
      <c r="DR15" s="1554"/>
      <c r="DS15" s="1554"/>
      <c r="DT15" s="1554"/>
      <c r="DU15" s="1554"/>
      <c r="DV15" s="1554"/>
      <c r="DW15" s="1554"/>
      <c r="DX15" s="1554"/>
      <c r="DY15" s="1554"/>
      <c r="DZ15" s="1554"/>
      <c r="EA15" s="1554"/>
      <c r="EB15" s="1554"/>
      <c r="EC15" s="1554"/>
      <c r="ED15" s="1554"/>
      <c r="EE15" s="1554"/>
      <c r="EF15" s="1554"/>
      <c r="EG15" s="1554"/>
      <c r="EH15" s="1554"/>
      <c r="EI15" s="1554"/>
      <c r="EJ15" s="1554"/>
      <c r="EK15" s="1554"/>
      <c r="EL15" s="1554"/>
      <c r="EM15" s="1554"/>
      <c r="EN15" s="1554"/>
      <c r="EO15" s="1554"/>
      <c r="EP15" s="1554"/>
      <c r="EQ15" s="1554"/>
      <c r="ER15" s="1554"/>
      <c r="ES15" s="1554"/>
      <c r="ET15" s="1554"/>
      <c r="EU15" s="1554"/>
      <c r="EV15" s="1554"/>
      <c r="EW15" s="1554"/>
      <c r="EX15" s="1554"/>
      <c r="EY15" s="1554"/>
      <c r="EZ15" s="1554"/>
      <c r="FA15" s="1554"/>
      <c r="FB15" s="1554"/>
      <c r="FC15" s="1554"/>
      <c r="FD15" s="1554"/>
      <c r="FE15" s="1554"/>
      <c r="FF15" s="1554"/>
      <c r="FG15" s="1554"/>
      <c r="FH15" s="1554"/>
      <c r="FI15" s="1554"/>
      <c r="FJ15" s="1554"/>
      <c r="FK15" s="1554"/>
      <c r="FL15" s="1554"/>
      <c r="FM15" s="1554"/>
      <c r="FN15" s="1554"/>
      <c r="FO15" s="1554"/>
      <c r="FP15" s="1554"/>
      <c r="FQ15" s="1554"/>
      <c r="FR15" s="1554"/>
      <c r="FS15" s="1554"/>
      <c r="FT15" s="1554"/>
      <c r="FU15" s="1554"/>
      <c r="FV15" s="1554"/>
      <c r="FW15" s="1554"/>
      <c r="FX15" s="1554"/>
      <c r="FY15" s="1554"/>
      <c r="FZ15" s="1554"/>
      <c r="GA15" s="1554"/>
      <c r="GB15" s="1554"/>
      <c r="GC15" s="1554"/>
      <c r="GD15" s="1554"/>
      <c r="GE15" s="1554"/>
      <c r="GF15" s="1554"/>
      <c r="GG15" s="1554"/>
      <c r="GH15" s="1554"/>
      <c r="GI15" s="1554"/>
      <c r="GJ15" s="1554"/>
      <c r="GK15" s="1554"/>
      <c r="GL15" s="1554"/>
      <c r="GM15" s="1554"/>
      <c r="GN15" s="1554"/>
      <c r="GO15" s="1554"/>
      <c r="GP15" s="1554"/>
      <c r="GQ15" s="1554"/>
      <c r="GR15" s="1554"/>
      <c r="GS15" s="1554"/>
      <c r="GT15" s="1554"/>
      <c r="GU15" s="1554"/>
      <c r="GV15" s="1554"/>
      <c r="GW15" s="1554"/>
      <c r="GX15" s="1554"/>
      <c r="GY15" s="1554"/>
      <c r="GZ15" s="1554"/>
      <c r="HA15" s="1554"/>
      <c r="HB15" s="1554"/>
      <c r="HC15" s="1554"/>
      <c r="HD15" s="1554"/>
      <c r="HE15" s="1554"/>
      <c r="HF15" s="1554"/>
      <c r="HG15" s="1554"/>
      <c r="HH15" s="1554"/>
      <c r="HI15" s="1554"/>
      <c r="HJ15" s="1554"/>
      <c r="HK15" s="1554"/>
      <c r="HL15" s="1554"/>
      <c r="HM15" s="1554"/>
      <c r="HN15" s="1554"/>
      <c r="HO15" s="1554"/>
      <c r="HP15" s="1554"/>
      <c r="HQ15" s="1554"/>
      <c r="HR15" s="1554"/>
      <c r="HS15" s="1554"/>
      <c r="HT15" s="1554"/>
      <c r="HU15" s="1554"/>
      <c r="HV15" s="1554"/>
      <c r="HW15" s="1554"/>
      <c r="HX15" s="1554"/>
      <c r="HY15" s="1554"/>
      <c r="HZ15" s="1554"/>
      <c r="IA15" s="1554"/>
      <c r="IB15" s="1554"/>
      <c r="IC15" s="1554"/>
      <c r="ID15" s="1554"/>
      <c r="IE15" s="1554"/>
      <c r="IF15" s="1554"/>
      <c r="IG15" s="1554"/>
      <c r="IH15" s="1554"/>
      <c r="II15" s="1554"/>
      <c r="IJ15" s="1554"/>
      <c r="IK15" s="1554"/>
      <c r="IL15" s="1554"/>
      <c r="IM15" s="1554"/>
      <c r="IN15" s="1554"/>
      <c r="IO15" s="1554"/>
      <c r="IP15" s="1554"/>
      <c r="IQ15" s="1554"/>
      <c r="IR15" s="1554"/>
      <c r="IS15" s="1554"/>
      <c r="IT15" s="1554"/>
      <c r="IU15" s="1554"/>
      <c r="IV15" s="1554"/>
    </row>
    <row r="16" spans="1:256" ht="13.5" thickBot="1" x14ac:dyDescent="0.25">
      <c r="A16" s="1579"/>
      <c r="B16" s="1570"/>
      <c r="C16" s="1594"/>
      <c r="D16" s="1572" t="s">
        <v>83</v>
      </c>
      <c r="E16" s="1573"/>
      <c r="F16" s="1573"/>
      <c r="G16" s="1574"/>
      <c r="H16" s="1595"/>
      <c r="I16" s="1596"/>
      <c r="J16" s="1577"/>
      <c r="K16" s="1595"/>
      <c r="L16" s="1596"/>
      <c r="M16" s="1577"/>
      <c r="N16" s="1595"/>
      <c r="O16" s="1596"/>
      <c r="P16" s="1577"/>
      <c r="Q16" s="1595"/>
      <c r="R16" s="1596"/>
      <c r="S16" s="1577"/>
      <c r="T16" s="1595"/>
      <c r="U16" s="1596"/>
      <c r="V16" s="1577"/>
      <c r="W16" s="1595"/>
      <c r="X16" s="1596"/>
      <c r="Y16" s="1577"/>
      <c r="Z16" s="1595"/>
      <c r="AA16" s="1596"/>
      <c r="AB16" s="1577"/>
      <c r="AC16" s="1595"/>
      <c r="AD16" s="1596"/>
      <c r="AE16" s="1577"/>
      <c r="AF16" s="1595"/>
      <c r="AG16" s="1596"/>
      <c r="AH16" s="1577"/>
      <c r="AI16" s="1595"/>
      <c r="AJ16" s="1596"/>
      <c r="AK16" s="1577"/>
      <c r="AL16" s="1595"/>
      <c r="AM16" s="1596"/>
      <c r="AN16" s="1577"/>
      <c r="AO16" s="1595"/>
      <c r="AP16" s="1596"/>
      <c r="AQ16" s="1577"/>
      <c r="AR16" s="1595"/>
      <c r="AS16" s="1596"/>
      <c r="AT16" s="1577"/>
      <c r="AU16" s="1595"/>
      <c r="AV16" s="1596"/>
      <c r="AW16" s="1577"/>
      <c r="AX16" s="1595"/>
      <c r="AY16" s="1596"/>
      <c r="AZ16" s="1577"/>
      <c r="BA16" s="1595"/>
      <c r="BB16" s="1596"/>
      <c r="BC16" s="1577"/>
      <c r="BD16" s="1595"/>
      <c r="BE16" s="1596"/>
      <c r="BF16" s="1577"/>
      <c r="BG16" s="1595"/>
      <c r="BH16" s="1596"/>
      <c r="BI16" s="1577"/>
      <c r="BJ16" s="1595"/>
      <c r="BK16" s="1596"/>
      <c r="BL16" s="1577"/>
      <c r="BM16" s="1595"/>
      <c r="BN16" s="1596"/>
      <c r="BO16" s="1577"/>
      <c r="BP16" s="1595"/>
      <c r="BQ16" s="1596"/>
      <c r="BR16" s="1577"/>
      <c r="BS16" s="1595"/>
      <c r="BT16" s="1596"/>
      <c r="BU16" s="1577"/>
      <c r="BV16" s="1595"/>
      <c r="BW16" s="1596"/>
      <c r="BX16" s="1577"/>
      <c r="BY16" s="1595"/>
      <c r="BZ16" s="1596"/>
      <c r="CA16" s="1577"/>
      <c r="CB16" s="1554"/>
      <c r="CC16" s="1554"/>
      <c r="CD16" s="1554"/>
      <c r="CE16" s="1554"/>
      <c r="CF16" s="1554"/>
      <c r="CG16" s="1554"/>
      <c r="CH16" s="1554"/>
      <c r="CI16" s="1554"/>
      <c r="CJ16" s="1554"/>
      <c r="CK16" s="1554"/>
      <c r="CL16" s="1554"/>
      <c r="CM16" s="1554"/>
      <c r="CN16" s="1554"/>
      <c r="CO16" s="1554"/>
      <c r="CP16" s="1554"/>
      <c r="CQ16" s="1554"/>
      <c r="CR16" s="1554"/>
      <c r="CS16" s="1554"/>
      <c r="CT16" s="1554"/>
      <c r="CU16" s="1554"/>
      <c r="CV16" s="1554"/>
      <c r="CW16" s="1554"/>
      <c r="CX16" s="1554"/>
      <c r="CY16" s="1554"/>
      <c r="CZ16" s="1554"/>
      <c r="DA16" s="1554"/>
      <c r="DB16" s="1554"/>
      <c r="DC16" s="1554"/>
      <c r="DD16" s="1554"/>
      <c r="DE16" s="1554"/>
      <c r="DF16" s="1554"/>
      <c r="DG16" s="1554"/>
      <c r="DH16" s="1554"/>
      <c r="DI16" s="1554"/>
      <c r="DJ16" s="1554"/>
      <c r="DK16" s="1554"/>
      <c r="DL16" s="1554"/>
      <c r="DM16" s="1554"/>
      <c r="DN16" s="1554"/>
      <c r="DO16" s="1554"/>
      <c r="DP16" s="1554"/>
      <c r="DQ16" s="1554"/>
      <c r="DR16" s="1554"/>
      <c r="DS16" s="1554"/>
      <c r="DT16" s="1554"/>
      <c r="DU16" s="1554"/>
      <c r="DV16" s="1554"/>
      <c r="DW16" s="1554"/>
      <c r="DX16" s="1554"/>
      <c r="DY16" s="1554"/>
      <c r="DZ16" s="1554"/>
      <c r="EA16" s="1554"/>
      <c r="EB16" s="1554"/>
      <c r="EC16" s="1554"/>
      <c r="ED16" s="1554"/>
      <c r="EE16" s="1554"/>
      <c r="EF16" s="1554"/>
      <c r="EG16" s="1554"/>
      <c r="EH16" s="1554"/>
      <c r="EI16" s="1554"/>
      <c r="EJ16" s="1554"/>
      <c r="EK16" s="1554"/>
      <c r="EL16" s="1554"/>
      <c r="EM16" s="1554"/>
      <c r="EN16" s="1554"/>
      <c r="EO16" s="1554"/>
      <c r="EP16" s="1554"/>
      <c r="EQ16" s="1554"/>
      <c r="ER16" s="1554"/>
      <c r="ES16" s="1554"/>
      <c r="ET16" s="1554"/>
      <c r="EU16" s="1554"/>
      <c r="EV16" s="1554"/>
      <c r="EW16" s="1554"/>
      <c r="EX16" s="1554"/>
      <c r="EY16" s="1554"/>
      <c r="EZ16" s="1554"/>
      <c r="FA16" s="1554"/>
      <c r="FB16" s="1554"/>
      <c r="FC16" s="1554"/>
      <c r="FD16" s="1554"/>
      <c r="FE16" s="1554"/>
      <c r="FF16" s="1554"/>
      <c r="FG16" s="1554"/>
      <c r="FH16" s="1554"/>
      <c r="FI16" s="1554"/>
      <c r="FJ16" s="1554"/>
      <c r="FK16" s="1554"/>
      <c r="FL16" s="1554"/>
      <c r="FM16" s="1554"/>
      <c r="FN16" s="1554"/>
      <c r="FO16" s="1554"/>
      <c r="FP16" s="1554"/>
      <c r="FQ16" s="1554"/>
      <c r="FR16" s="1554"/>
      <c r="FS16" s="1554"/>
      <c r="FT16" s="1554"/>
      <c r="FU16" s="1554"/>
      <c r="FV16" s="1554"/>
      <c r="FW16" s="1554"/>
      <c r="FX16" s="1554"/>
      <c r="FY16" s="1554"/>
      <c r="FZ16" s="1554"/>
      <c r="GA16" s="1554"/>
      <c r="GB16" s="1554"/>
      <c r="GC16" s="1554"/>
      <c r="GD16" s="1554"/>
      <c r="GE16" s="1554"/>
      <c r="GF16" s="1554"/>
      <c r="GG16" s="1554"/>
      <c r="GH16" s="1554"/>
      <c r="GI16" s="1554"/>
      <c r="GJ16" s="1554"/>
      <c r="GK16" s="1554"/>
      <c r="GL16" s="1554"/>
      <c r="GM16" s="1554"/>
      <c r="GN16" s="1554"/>
      <c r="GO16" s="1554"/>
      <c r="GP16" s="1554"/>
      <c r="GQ16" s="1554"/>
      <c r="GR16" s="1554"/>
      <c r="GS16" s="1554"/>
      <c r="GT16" s="1554"/>
      <c r="GU16" s="1554"/>
      <c r="GV16" s="1554"/>
      <c r="GW16" s="1554"/>
      <c r="GX16" s="1554"/>
      <c r="GY16" s="1554"/>
      <c r="GZ16" s="1554"/>
      <c r="HA16" s="1554"/>
      <c r="HB16" s="1554"/>
      <c r="HC16" s="1554"/>
      <c r="HD16" s="1554"/>
      <c r="HE16" s="1554"/>
      <c r="HF16" s="1554"/>
      <c r="HG16" s="1554"/>
      <c r="HH16" s="1554"/>
      <c r="HI16" s="1554"/>
      <c r="HJ16" s="1554"/>
      <c r="HK16" s="1554"/>
      <c r="HL16" s="1554"/>
      <c r="HM16" s="1554"/>
      <c r="HN16" s="1554"/>
      <c r="HO16" s="1554"/>
      <c r="HP16" s="1554"/>
      <c r="HQ16" s="1554"/>
      <c r="HR16" s="1554"/>
      <c r="HS16" s="1554"/>
      <c r="HT16" s="1554"/>
      <c r="HU16" s="1554"/>
      <c r="HV16" s="1554"/>
      <c r="HW16" s="1554"/>
      <c r="HX16" s="1554"/>
      <c r="HY16" s="1554"/>
      <c r="HZ16" s="1554"/>
      <c r="IA16" s="1554"/>
      <c r="IB16" s="1554"/>
      <c r="IC16" s="1554"/>
      <c r="ID16" s="1554"/>
      <c r="IE16" s="1554"/>
      <c r="IF16" s="1554"/>
      <c r="IG16" s="1554"/>
      <c r="IH16" s="1554"/>
      <c r="II16" s="1554"/>
      <c r="IJ16" s="1554"/>
      <c r="IK16" s="1554"/>
      <c r="IL16" s="1554"/>
      <c r="IM16" s="1554"/>
      <c r="IN16" s="1554"/>
      <c r="IO16" s="1554"/>
      <c r="IP16" s="1554"/>
      <c r="IQ16" s="1554"/>
      <c r="IR16" s="1554"/>
      <c r="IS16" s="1554"/>
      <c r="IT16" s="1554"/>
      <c r="IU16" s="1554"/>
      <c r="IV16" s="1554"/>
    </row>
    <row r="17" spans="1:256" x14ac:dyDescent="0.2">
      <c r="A17" s="1597"/>
      <c r="B17" s="1598"/>
      <c r="C17" s="1599"/>
      <c r="D17" s="1581"/>
      <c r="E17" s="1600"/>
      <c r="F17" s="1581" t="s">
        <v>33</v>
      </c>
      <c r="G17" s="1600"/>
      <c r="H17" s="1551">
        <f>SQRT(I17^2+J17^2)*1000/(1.73*I21)</f>
        <v>24.999258710214299</v>
      </c>
      <c r="I17" s="1552">
        <v>5.016</v>
      </c>
      <c r="J17" s="1553">
        <v>0.66659999999999986</v>
      </c>
      <c r="K17" s="1551">
        <f>SQRT(L17^2+M17^2)*1000/(1.73*L21)</f>
        <v>24.732102909924173</v>
      </c>
      <c r="L17" s="1552">
        <v>4.9631999999999996</v>
      </c>
      <c r="M17" s="1553">
        <v>0.65339999999999998</v>
      </c>
      <c r="N17" s="1551">
        <f>SQRT(O17^2+P17^2)*1000/(1.73*O21)</f>
        <v>24.833351002964225</v>
      </c>
      <c r="O17" s="1552">
        <v>4.9829999999999997</v>
      </c>
      <c r="P17" s="1553">
        <v>0.66</v>
      </c>
      <c r="Q17" s="1551">
        <f>SQRT(R17^2+S17^2)*1000/(1.73*R21)</f>
        <v>24.708382798481296</v>
      </c>
      <c r="R17" s="1552">
        <v>4.9566000000000008</v>
      </c>
      <c r="S17" s="1553">
        <v>0.66659999999999997</v>
      </c>
      <c r="T17" s="1551">
        <f>SQRT(U17^2+V17^2)*1000/(1.73*U21)</f>
        <v>25.229814698815524</v>
      </c>
      <c r="U17" s="1552">
        <v>5.0621999999999998</v>
      </c>
      <c r="V17" s="1553">
        <v>0.67320000000000002</v>
      </c>
      <c r="W17" s="1551">
        <f>SQRT(X17^2+Y17^2)*1000/(1.73*X21)</f>
        <v>25.249444996094866</v>
      </c>
      <c r="X17" s="1552">
        <v>5.0688000000000004</v>
      </c>
      <c r="Y17" s="1553">
        <v>0.65339999999999998</v>
      </c>
      <c r="Z17" s="1551">
        <f>SQRT(AA17^2+AB17^2)*1000/(1.73*AA21)</f>
        <v>25.508182811806911</v>
      </c>
      <c r="AA17" s="1552">
        <v>5.1215999999999999</v>
      </c>
      <c r="AB17" s="1553">
        <v>0.65339999999999998</v>
      </c>
      <c r="AC17" s="1551">
        <f>SQRT(AD17^2+AE17^2)*1000/(1.73*AD21)</f>
        <v>25.56472376588237</v>
      </c>
      <c r="AD17" s="1552">
        <v>5.1348000000000003</v>
      </c>
      <c r="AE17" s="1553">
        <v>0.64019999999999999</v>
      </c>
      <c r="AF17" s="1551">
        <f>SQRT(AG17^2+AH17^2)*1000/(1.73*AG21)</f>
        <v>25.868106750000734</v>
      </c>
      <c r="AG17" s="1552">
        <v>5.1942000000000004</v>
      </c>
      <c r="AH17" s="1553">
        <v>0.66</v>
      </c>
      <c r="AI17" s="1551">
        <f>SQRT(AJ17^2+AK17^2)*1000/(1.73*AJ21)</f>
        <v>25.8722371364561</v>
      </c>
      <c r="AJ17" s="1552">
        <v>5.1941999999999995</v>
      </c>
      <c r="AK17" s="1553">
        <v>0.66659999999999997</v>
      </c>
      <c r="AL17" s="1551">
        <f>SQRT(AM17^2+AN17^2)*1000/(1.73*AM21)</f>
        <v>25.868106750000734</v>
      </c>
      <c r="AM17" s="1552">
        <v>5.1942000000000004</v>
      </c>
      <c r="AN17" s="1553">
        <v>0.66</v>
      </c>
      <c r="AO17" s="1551">
        <f>SQRT(AP17^2+AQ17^2)*1000/(1.73*AP21)</f>
        <v>25.831665016061073</v>
      </c>
      <c r="AP17" s="1552">
        <v>5.1876000000000007</v>
      </c>
      <c r="AQ17" s="1553">
        <v>0.65339999999999998</v>
      </c>
      <c r="AR17" s="1551">
        <f>SQRT(AS17^2+AT17^2)*1000/(1.73*AS21)</f>
        <v>25.694155100074784</v>
      </c>
      <c r="AS17" s="1552">
        <v>5.1612000000000009</v>
      </c>
      <c r="AT17" s="1553">
        <v>0.64019999999999999</v>
      </c>
      <c r="AU17" s="1551">
        <f>SQRT(AV17^2+AW17^2)*1000/(1.73*AV21)</f>
        <v>25.305891811456682</v>
      </c>
      <c r="AV17" s="1552">
        <v>5.0819999999999999</v>
      </c>
      <c r="AW17" s="1553">
        <v>0.64019999999999999</v>
      </c>
      <c r="AX17" s="1551">
        <f>SQRT(AY17^2+AZ17^2)*1000/(1.73*AY21)</f>
        <v>16.656476325235573</v>
      </c>
      <c r="AY17" s="1552">
        <v>3.3660000000000001</v>
      </c>
      <c r="AZ17" s="1553">
        <v>0.19140000000000001</v>
      </c>
      <c r="BA17" s="1551">
        <f>SQRT(BB17^2+BC17^2)*1000/(1.73*BB21)</f>
        <v>16.217558948383701</v>
      </c>
      <c r="BB17" s="1552">
        <v>3.2801999999999998</v>
      </c>
      <c r="BC17" s="1553">
        <v>0.12540000000000001</v>
      </c>
      <c r="BD17" s="1551">
        <f>SQRT(BE17^2+BF17^2)*1000/(1.73*BE21)</f>
        <v>16.679089541953509</v>
      </c>
      <c r="BE17" s="1552">
        <v>3.3726000000000003</v>
      </c>
      <c r="BF17" s="1553">
        <v>0.15180000000000002</v>
      </c>
      <c r="BG17" s="1551">
        <f>SQRT(BH17^2+BI17^2)*1000/(1.73*BH21)</f>
        <v>16.513387923367443</v>
      </c>
      <c r="BH17" s="1552">
        <v>3.3395999999999999</v>
      </c>
      <c r="BI17" s="1553">
        <v>0.1386</v>
      </c>
      <c r="BJ17" s="1551">
        <f>SQRT(BK17^2+BL17^2)*1000/(1.73*BK21)</f>
        <v>16.574794052675927</v>
      </c>
      <c r="BK17" s="1552">
        <v>3.3528000000000002</v>
      </c>
      <c r="BL17" s="1553">
        <v>0.1188</v>
      </c>
      <c r="BM17" s="1551">
        <f>SQRT(BN17^2+BO17^2)*1000/(1.73*BN21)</f>
        <v>16.908589155133352</v>
      </c>
      <c r="BN17" s="1552">
        <v>3.4188000000000001</v>
      </c>
      <c r="BO17" s="1553">
        <v>0.15839999999999999</v>
      </c>
      <c r="BP17" s="1551">
        <f>SQRT(BQ17^2+BR17^2)*1000/(1.73*BQ21)</f>
        <v>17.072977345424931</v>
      </c>
      <c r="BQ17" s="1552">
        <v>3.4518</v>
      </c>
      <c r="BR17" s="1553">
        <v>0.16500000000000001</v>
      </c>
      <c r="BS17" s="1551">
        <f>SQRT(BT17^2+BU17^2)*1000/(1.73*BT21)</f>
        <v>16.809386987796699</v>
      </c>
      <c r="BT17" s="1552">
        <v>3.399</v>
      </c>
      <c r="BU17" s="1553">
        <v>0.15180000000000002</v>
      </c>
      <c r="BV17" s="1551">
        <f>SQRT(BW17^2+BX17^2)*1000/(1.73*BW21)</f>
        <v>21.958154073264947</v>
      </c>
      <c r="BW17" s="1552">
        <v>4.4154</v>
      </c>
      <c r="BX17" s="1553">
        <v>0.50819999999999999</v>
      </c>
      <c r="BY17" s="1551">
        <f>SQRT(BZ17^2+CA17^2)*1000/(1.73*BZ21)</f>
        <v>22.319114743408665</v>
      </c>
      <c r="BZ17" s="1552">
        <v>4.4946000000000002</v>
      </c>
      <c r="CA17" s="1553">
        <v>0.45539999999999997</v>
      </c>
      <c r="CB17" s="1230">
        <f>SUM(I17,L17,O17,R17,U17,X17,AA17,AD17,AG17,AJ17,AM17,AP17,AS17,AV17,AY17,BB17,BE17,BH17,BK17,BN17,BQ17,BT17,BW17,BZ17)</f>
        <v>107.21040000000004</v>
      </c>
      <c r="CC17" s="1230">
        <f t="shared" ref="CC17:CC19" si="1">SUM(J17,M17,P17,S17,V17,Y17,AB17,AE17,AH17,AK17,AN17,AQ17,AT17,AW17,AZ17,BC17,BF17,BI17,BL17,BO17,BR17,BU17,BX17,CA17)</f>
        <v>11.352</v>
      </c>
      <c r="CD17" s="1554"/>
      <c r="CE17" s="1554"/>
      <c r="CF17" s="1554"/>
      <c r="CG17" s="1554"/>
      <c r="CH17" s="1554"/>
      <c r="CI17" s="1554"/>
      <c r="CJ17" s="1554"/>
      <c r="CK17" s="1554"/>
      <c r="CL17" s="1554"/>
      <c r="CM17" s="1554"/>
      <c r="CN17" s="1554"/>
      <c r="CO17" s="1554"/>
      <c r="CP17" s="1554"/>
      <c r="CQ17" s="1554"/>
      <c r="CR17" s="1554"/>
      <c r="CS17" s="1554"/>
      <c r="CT17" s="1554"/>
      <c r="CU17" s="1554"/>
      <c r="CV17" s="1554"/>
      <c r="CW17" s="1554"/>
      <c r="CX17" s="1554"/>
      <c r="CY17" s="1554"/>
      <c r="CZ17" s="1554"/>
      <c r="DA17" s="1554"/>
      <c r="DB17" s="1554"/>
      <c r="DC17" s="1554"/>
      <c r="DD17" s="1554"/>
      <c r="DE17" s="1554"/>
      <c r="DF17" s="1554"/>
      <c r="DG17" s="1554"/>
      <c r="DH17" s="1554"/>
      <c r="DI17" s="1554"/>
      <c r="DJ17" s="1554"/>
      <c r="DK17" s="1554"/>
      <c r="DL17" s="1554"/>
      <c r="DM17" s="1554"/>
      <c r="DN17" s="1554"/>
      <c r="DO17" s="1554"/>
      <c r="DP17" s="1554"/>
      <c r="DQ17" s="1554"/>
      <c r="DR17" s="1554"/>
      <c r="DS17" s="1554"/>
      <c r="DT17" s="1554"/>
      <c r="DU17" s="1554"/>
      <c r="DV17" s="1554"/>
      <c r="DW17" s="1554"/>
      <c r="DX17" s="1554"/>
      <c r="DY17" s="1554"/>
      <c r="DZ17" s="1554"/>
      <c r="EA17" s="1554"/>
      <c r="EB17" s="1554"/>
      <c r="EC17" s="1554"/>
      <c r="ED17" s="1554"/>
      <c r="EE17" s="1554"/>
      <c r="EF17" s="1554"/>
      <c r="EG17" s="1554"/>
      <c r="EH17" s="1554"/>
      <c r="EI17" s="1554"/>
      <c r="EJ17" s="1554"/>
      <c r="EK17" s="1554"/>
      <c r="EL17" s="1554"/>
      <c r="EM17" s="1554"/>
      <c r="EN17" s="1554"/>
      <c r="EO17" s="1554"/>
      <c r="EP17" s="1554"/>
      <c r="EQ17" s="1554"/>
      <c r="ER17" s="1554"/>
      <c r="ES17" s="1554"/>
      <c r="ET17" s="1554"/>
      <c r="EU17" s="1554"/>
      <c r="EV17" s="1554"/>
      <c r="EW17" s="1554"/>
      <c r="EX17" s="1554"/>
      <c r="EY17" s="1554"/>
      <c r="EZ17" s="1554"/>
      <c r="FA17" s="1554"/>
      <c r="FB17" s="1554"/>
      <c r="FC17" s="1554"/>
      <c r="FD17" s="1554"/>
      <c r="FE17" s="1554"/>
      <c r="FF17" s="1554"/>
      <c r="FG17" s="1554"/>
      <c r="FH17" s="1554"/>
      <c r="FI17" s="1554"/>
      <c r="FJ17" s="1554"/>
      <c r="FK17" s="1554"/>
      <c r="FL17" s="1554"/>
      <c r="FM17" s="1554"/>
      <c r="FN17" s="1554"/>
      <c r="FO17" s="1554"/>
      <c r="FP17" s="1554"/>
      <c r="FQ17" s="1554"/>
      <c r="FR17" s="1554"/>
      <c r="FS17" s="1554"/>
      <c r="FT17" s="1554"/>
      <c r="FU17" s="1554"/>
      <c r="FV17" s="1554"/>
      <c r="FW17" s="1554"/>
      <c r="FX17" s="1554"/>
      <c r="FY17" s="1554"/>
      <c r="FZ17" s="1554"/>
      <c r="GA17" s="1554"/>
      <c r="GB17" s="1554"/>
      <c r="GC17" s="1554"/>
      <c r="GD17" s="1554"/>
      <c r="GE17" s="1554"/>
      <c r="GF17" s="1554"/>
      <c r="GG17" s="1554"/>
      <c r="GH17" s="1554"/>
      <c r="GI17" s="1554"/>
      <c r="GJ17" s="1554"/>
      <c r="GK17" s="1554"/>
      <c r="GL17" s="1554"/>
      <c r="GM17" s="1554"/>
      <c r="GN17" s="1554"/>
      <c r="GO17" s="1554"/>
      <c r="GP17" s="1554"/>
      <c r="GQ17" s="1554"/>
      <c r="GR17" s="1554"/>
      <c r="GS17" s="1554"/>
      <c r="GT17" s="1554"/>
      <c r="GU17" s="1554"/>
      <c r="GV17" s="1554"/>
      <c r="GW17" s="1554"/>
      <c r="GX17" s="1554"/>
      <c r="GY17" s="1554"/>
      <c r="GZ17" s="1554"/>
      <c r="HA17" s="1554"/>
      <c r="HB17" s="1554"/>
      <c r="HC17" s="1554"/>
      <c r="HD17" s="1554"/>
      <c r="HE17" s="1554"/>
      <c r="HF17" s="1554"/>
      <c r="HG17" s="1554"/>
      <c r="HH17" s="1554"/>
      <c r="HI17" s="1554"/>
      <c r="HJ17" s="1554"/>
      <c r="HK17" s="1554"/>
      <c r="HL17" s="1554"/>
      <c r="HM17" s="1554"/>
      <c r="HN17" s="1554"/>
      <c r="HO17" s="1554"/>
      <c r="HP17" s="1554"/>
      <c r="HQ17" s="1554"/>
      <c r="HR17" s="1554"/>
      <c r="HS17" s="1554"/>
      <c r="HT17" s="1554"/>
      <c r="HU17" s="1554"/>
      <c r="HV17" s="1554"/>
      <c r="HW17" s="1554"/>
      <c r="HX17" s="1554"/>
      <c r="HY17" s="1554"/>
      <c r="HZ17" s="1554"/>
      <c r="IA17" s="1554"/>
      <c r="IB17" s="1554"/>
      <c r="IC17" s="1554"/>
      <c r="ID17" s="1554"/>
      <c r="IE17" s="1554"/>
      <c r="IF17" s="1554"/>
      <c r="IG17" s="1554"/>
      <c r="IH17" s="1554"/>
      <c r="II17" s="1554"/>
      <c r="IJ17" s="1554"/>
      <c r="IK17" s="1554"/>
      <c r="IL17" s="1554"/>
      <c r="IM17" s="1554"/>
      <c r="IN17" s="1554"/>
      <c r="IO17" s="1554"/>
      <c r="IP17" s="1554"/>
      <c r="IQ17" s="1554"/>
      <c r="IR17" s="1554"/>
      <c r="IS17" s="1554"/>
      <c r="IT17" s="1554"/>
      <c r="IU17" s="1554"/>
      <c r="IV17" s="1554"/>
    </row>
    <row r="18" spans="1:256" x14ac:dyDescent="0.2">
      <c r="A18" s="1569"/>
      <c r="B18" s="1580"/>
      <c r="C18" s="1601"/>
      <c r="D18" s="1579" t="s">
        <v>13</v>
      </c>
      <c r="E18" s="1580"/>
      <c r="F18" s="1586" t="s">
        <v>36</v>
      </c>
      <c r="G18" s="1602"/>
      <c r="H18" s="1561">
        <f>SQRT(I18^2+J18^2)*1000/(1.73*I22)</f>
        <v>59.881001903286517</v>
      </c>
      <c r="I18" s="1562">
        <v>3.7317</v>
      </c>
      <c r="J18" s="1563">
        <v>0.54179999999999995</v>
      </c>
      <c r="K18" s="1561">
        <f>SQRT(L18^2+M18^2)*1000/(1.73*L22)</f>
        <v>59.390367209143513</v>
      </c>
      <c r="L18" s="1562">
        <v>3.7023000000000001</v>
      </c>
      <c r="M18" s="1563">
        <v>0.5292</v>
      </c>
      <c r="N18" s="1561">
        <f>SQRT(O18^2+P18^2)*1000/(1.73*O22)</f>
        <v>59.376387165240111</v>
      </c>
      <c r="O18" s="1562">
        <v>3.7001999999999997</v>
      </c>
      <c r="P18" s="1563">
        <v>0.53760000000000008</v>
      </c>
      <c r="Q18" s="1561">
        <f>SQRT(R18^2+S18^2)*1000/(1.73*R22)</f>
        <v>59.612193561976383</v>
      </c>
      <c r="R18" s="1562">
        <v>3.7149000000000001</v>
      </c>
      <c r="S18" s="1563">
        <v>0.53970000000000007</v>
      </c>
      <c r="T18" s="1561">
        <f>SQRT(U18^2+V18^2)*1000/(1.73*U22)</f>
        <v>60.277054900718909</v>
      </c>
      <c r="U18" s="1562">
        <v>3.7568999999999999</v>
      </c>
      <c r="V18" s="1563">
        <v>0.54179999999999995</v>
      </c>
      <c r="W18" s="1561">
        <f>SQRT(X18^2+Y18^2)*1000/(1.73*X22)</f>
        <v>60.588347850274005</v>
      </c>
      <c r="X18" s="1562">
        <v>3.7778999999999998</v>
      </c>
      <c r="Y18" s="1563">
        <v>0.53339999999999999</v>
      </c>
      <c r="Z18" s="1561">
        <f>SQRT(AA18^2+AB18^2)*1000/(1.73*AA22)</f>
        <v>60.961685608525286</v>
      </c>
      <c r="AA18" s="1562">
        <v>3.8030999999999997</v>
      </c>
      <c r="AB18" s="1563">
        <v>0.52290000000000003</v>
      </c>
      <c r="AC18" s="1561">
        <f>SQRT(AD18^2+AE18^2)*1000/(1.73*AD22)</f>
        <v>61.079082255019223</v>
      </c>
      <c r="AD18" s="1562">
        <v>3.8094000000000001</v>
      </c>
      <c r="AE18" s="1563">
        <v>0.53129999999999999</v>
      </c>
      <c r="AF18" s="1561">
        <f>SQRT(AG18^2+AH18^2)*1000/(1.73*AG22)</f>
        <v>61.691896059088307</v>
      </c>
      <c r="AG18" s="1562">
        <v>3.8451000000000004</v>
      </c>
      <c r="AH18" s="1563">
        <v>0.5544</v>
      </c>
      <c r="AI18" s="1561">
        <f>SQRT(AJ18^2+AK18^2)*1000/(1.73*AJ22)</f>
        <v>61.328843250037743</v>
      </c>
      <c r="AJ18" s="1562">
        <v>3.8220000000000001</v>
      </c>
      <c r="AK18" s="1563">
        <v>0.5544</v>
      </c>
      <c r="AL18" s="1561">
        <f>SQRT(AM18^2+AN18^2)*1000/(1.73*AM22)</f>
        <v>61.540936296065198</v>
      </c>
      <c r="AM18" s="1562">
        <v>3.8367</v>
      </c>
      <c r="AN18" s="1563">
        <v>0.54600000000000004</v>
      </c>
      <c r="AO18" s="1561">
        <f>SQRT(AP18^2+AQ18^2)*1000/(1.73*AP22)</f>
        <v>61.338144970295524</v>
      </c>
      <c r="AP18" s="1562">
        <v>3.8241000000000001</v>
      </c>
      <c r="AQ18" s="1563">
        <v>0.54389999999999994</v>
      </c>
      <c r="AR18" s="1561">
        <f>SQRT(AS18^2+AT18^2)*1000/(1.73*AS22)</f>
        <v>61.055307693260097</v>
      </c>
      <c r="AS18" s="1562">
        <v>3.8073000000000001</v>
      </c>
      <c r="AT18" s="1563">
        <v>0.53549999999999998</v>
      </c>
      <c r="AU18" s="1561">
        <f>SQRT(AV18^2+AW18^2)*1000/(1.73*AV22)</f>
        <v>60.263391277432724</v>
      </c>
      <c r="AV18" s="1562">
        <v>3.7589999999999999</v>
      </c>
      <c r="AW18" s="1563">
        <v>0.52079999999999993</v>
      </c>
      <c r="AX18" s="1561">
        <f>SQRT(AY18^2+AZ18^2)*1000/(1.73*AY22)</f>
        <v>31.614771817228068</v>
      </c>
      <c r="AY18" s="1562">
        <v>1.9887000000000001</v>
      </c>
      <c r="AZ18" s="1563">
        <v>9.240000000000001E-2</v>
      </c>
      <c r="BA18" s="1561">
        <f>SQRT(BB18^2+BC18^2)*1000/(1.73*BB22)</f>
        <v>30.16332761113804</v>
      </c>
      <c r="BB18" s="1562">
        <v>1.8984000000000001</v>
      </c>
      <c r="BC18" s="1563">
        <v>6.3E-2</v>
      </c>
      <c r="BD18" s="1561">
        <f>SQRT(BE18^2+BF18^2)*1000/(1.73*BE22)</f>
        <v>31.234459241834262</v>
      </c>
      <c r="BE18" s="1562">
        <v>1.9656</v>
      </c>
      <c r="BF18" s="1563">
        <v>7.1400000000000005E-2</v>
      </c>
      <c r="BG18" s="1561">
        <f>SQRT(BH18^2+BI18^2)*1000/(1.73*BH22)</f>
        <v>30.863262292946207</v>
      </c>
      <c r="BH18" s="1562">
        <v>1.9424999999999999</v>
      </c>
      <c r="BI18" s="1563">
        <v>6.3E-2</v>
      </c>
      <c r="BJ18" s="1561">
        <f>SQRT(BK18^2+BL18^2)*1000/(1.73*BK22)</f>
        <v>30.960183317627514</v>
      </c>
      <c r="BK18" s="1562">
        <v>1.9487999999999999</v>
      </c>
      <c r="BL18" s="1563">
        <v>5.67E-2</v>
      </c>
      <c r="BM18" s="1561">
        <f>SQRT(BN18^2+BO18^2)*1000/(1.73*BN22)</f>
        <v>31.932020534541188</v>
      </c>
      <c r="BN18" s="1562">
        <v>2.0097</v>
      </c>
      <c r="BO18" s="1563">
        <v>6.720000000000001E-2</v>
      </c>
      <c r="BP18" s="1561">
        <f>SQRT(BQ18^2+BR18^2)*1000/(1.73*BQ22)</f>
        <v>32.20335490611437</v>
      </c>
      <c r="BQ18" s="1562">
        <v>2.0265</v>
      </c>
      <c r="BR18" s="1563">
        <v>7.5600000000000001E-2</v>
      </c>
      <c r="BS18" s="1561">
        <f>SQRT(BT18^2+BU18^2)*1000/(1.73*BT22)</f>
        <v>32.137968123190205</v>
      </c>
      <c r="BT18" s="1562">
        <v>2.0223</v>
      </c>
      <c r="BU18" s="1563">
        <v>7.7699999999999991E-2</v>
      </c>
      <c r="BV18" s="1561">
        <f>SQRT(BW18^2+BX18^2)*1000/(1.73*BW22)</f>
        <v>48.719588310784658</v>
      </c>
      <c r="BW18" s="1562">
        <v>3.0408000000000004</v>
      </c>
      <c r="BX18" s="1563">
        <v>0.40739999999999998</v>
      </c>
      <c r="BY18" s="1561">
        <f>SQRT(BZ18^2+CA18^2)*1000/(1.73*BZ22)</f>
        <v>50.409020397856025</v>
      </c>
      <c r="BZ18" s="1562">
        <v>3.1563000000000003</v>
      </c>
      <c r="CA18" s="1563">
        <v>0.33810000000000001</v>
      </c>
      <c r="CB18" s="1230">
        <f>SUM(I18,L18,O18,R18,U18,X18,AA18,AD18,AG18,AJ18,AM18,AP18,AS18,AV18,AY18,BB18,BE18,BH18,BK18,BN18,BQ18,BT18,BW18,BZ18)</f>
        <v>74.890200000000021</v>
      </c>
      <c r="CC18" s="1230">
        <f t="shared" si="1"/>
        <v>8.8451999999999984</v>
      </c>
      <c r="CD18" s="1554"/>
      <c r="CE18" s="1554"/>
      <c r="CF18" s="1554"/>
      <c r="CG18" s="1554"/>
      <c r="CH18" s="1554"/>
      <c r="CI18" s="1554"/>
      <c r="CJ18" s="1554"/>
      <c r="CK18" s="1554"/>
      <c r="CL18" s="1554"/>
      <c r="CM18" s="1554"/>
      <c r="CN18" s="1554"/>
      <c r="CO18" s="1554"/>
      <c r="CP18" s="1554"/>
      <c r="CQ18" s="1554"/>
      <c r="CR18" s="1554"/>
      <c r="CS18" s="1554"/>
      <c r="CT18" s="1554"/>
      <c r="CU18" s="1554"/>
      <c r="CV18" s="1554"/>
      <c r="CW18" s="1554"/>
      <c r="CX18" s="1554"/>
      <c r="CY18" s="1554"/>
      <c r="CZ18" s="1554"/>
      <c r="DA18" s="1554"/>
      <c r="DB18" s="1554"/>
      <c r="DC18" s="1554"/>
      <c r="DD18" s="1554"/>
      <c r="DE18" s="1554"/>
      <c r="DF18" s="1554"/>
      <c r="DG18" s="1554"/>
      <c r="DH18" s="1554"/>
      <c r="DI18" s="1554"/>
      <c r="DJ18" s="1554"/>
      <c r="DK18" s="1554"/>
      <c r="DL18" s="1554"/>
      <c r="DM18" s="1554"/>
      <c r="DN18" s="1554"/>
      <c r="DO18" s="1554"/>
      <c r="DP18" s="1554"/>
      <c r="DQ18" s="1554"/>
      <c r="DR18" s="1554"/>
      <c r="DS18" s="1554"/>
      <c r="DT18" s="1554"/>
      <c r="DU18" s="1554"/>
      <c r="DV18" s="1554"/>
      <c r="DW18" s="1554"/>
      <c r="DX18" s="1554"/>
      <c r="DY18" s="1554"/>
      <c r="DZ18" s="1554"/>
      <c r="EA18" s="1554"/>
      <c r="EB18" s="1554"/>
      <c r="EC18" s="1554"/>
      <c r="ED18" s="1554"/>
      <c r="EE18" s="1554"/>
      <c r="EF18" s="1554"/>
      <c r="EG18" s="1554"/>
      <c r="EH18" s="1554"/>
      <c r="EI18" s="1554"/>
      <c r="EJ18" s="1554"/>
      <c r="EK18" s="1554"/>
      <c r="EL18" s="1554"/>
      <c r="EM18" s="1554"/>
      <c r="EN18" s="1554"/>
      <c r="EO18" s="1554"/>
      <c r="EP18" s="1554"/>
      <c r="EQ18" s="1554"/>
      <c r="ER18" s="1554"/>
      <c r="ES18" s="1554"/>
      <c r="ET18" s="1554"/>
      <c r="EU18" s="1554"/>
      <c r="EV18" s="1554"/>
      <c r="EW18" s="1554"/>
      <c r="EX18" s="1554"/>
      <c r="EY18" s="1554"/>
      <c r="EZ18" s="1554"/>
      <c r="FA18" s="1554"/>
      <c r="FB18" s="1554"/>
      <c r="FC18" s="1554"/>
      <c r="FD18" s="1554"/>
      <c r="FE18" s="1554"/>
      <c r="FF18" s="1554"/>
      <c r="FG18" s="1554"/>
      <c r="FH18" s="1554"/>
      <c r="FI18" s="1554"/>
      <c r="FJ18" s="1554"/>
      <c r="FK18" s="1554"/>
      <c r="FL18" s="1554"/>
      <c r="FM18" s="1554"/>
      <c r="FN18" s="1554"/>
      <c r="FO18" s="1554"/>
      <c r="FP18" s="1554"/>
      <c r="FQ18" s="1554"/>
      <c r="FR18" s="1554"/>
      <c r="FS18" s="1554"/>
      <c r="FT18" s="1554"/>
      <c r="FU18" s="1554"/>
      <c r="FV18" s="1554"/>
      <c r="FW18" s="1554"/>
      <c r="FX18" s="1554"/>
      <c r="FY18" s="1554"/>
      <c r="FZ18" s="1554"/>
      <c r="GA18" s="1554"/>
      <c r="GB18" s="1554"/>
      <c r="GC18" s="1554"/>
      <c r="GD18" s="1554"/>
      <c r="GE18" s="1554"/>
      <c r="GF18" s="1554"/>
      <c r="GG18" s="1554"/>
      <c r="GH18" s="1554"/>
      <c r="GI18" s="1554"/>
      <c r="GJ18" s="1554"/>
      <c r="GK18" s="1554"/>
      <c r="GL18" s="1554"/>
      <c r="GM18" s="1554"/>
      <c r="GN18" s="1554"/>
      <c r="GO18" s="1554"/>
      <c r="GP18" s="1554"/>
      <c r="GQ18" s="1554"/>
      <c r="GR18" s="1554"/>
      <c r="GS18" s="1554"/>
      <c r="GT18" s="1554"/>
      <c r="GU18" s="1554"/>
      <c r="GV18" s="1554"/>
      <c r="GW18" s="1554"/>
      <c r="GX18" s="1554"/>
      <c r="GY18" s="1554"/>
      <c r="GZ18" s="1554"/>
      <c r="HA18" s="1554"/>
      <c r="HB18" s="1554"/>
      <c r="HC18" s="1554"/>
      <c r="HD18" s="1554"/>
      <c r="HE18" s="1554"/>
      <c r="HF18" s="1554"/>
      <c r="HG18" s="1554"/>
      <c r="HH18" s="1554"/>
      <c r="HI18" s="1554"/>
      <c r="HJ18" s="1554"/>
      <c r="HK18" s="1554"/>
      <c r="HL18" s="1554"/>
      <c r="HM18" s="1554"/>
      <c r="HN18" s="1554"/>
      <c r="HO18" s="1554"/>
      <c r="HP18" s="1554"/>
      <c r="HQ18" s="1554"/>
      <c r="HR18" s="1554"/>
      <c r="HS18" s="1554"/>
      <c r="HT18" s="1554"/>
      <c r="HU18" s="1554"/>
      <c r="HV18" s="1554"/>
      <c r="HW18" s="1554"/>
      <c r="HX18" s="1554"/>
      <c r="HY18" s="1554"/>
      <c r="HZ18" s="1554"/>
      <c r="IA18" s="1554"/>
      <c r="IB18" s="1554"/>
      <c r="IC18" s="1554"/>
      <c r="ID18" s="1554"/>
      <c r="IE18" s="1554"/>
      <c r="IF18" s="1554"/>
      <c r="IG18" s="1554"/>
      <c r="IH18" s="1554"/>
      <c r="II18" s="1554"/>
      <c r="IJ18" s="1554"/>
      <c r="IK18" s="1554"/>
      <c r="IL18" s="1554"/>
      <c r="IM18" s="1554"/>
      <c r="IN18" s="1554"/>
      <c r="IO18" s="1554"/>
      <c r="IP18" s="1554"/>
      <c r="IQ18" s="1554"/>
      <c r="IR18" s="1554"/>
      <c r="IS18" s="1554"/>
      <c r="IT18" s="1554"/>
      <c r="IU18" s="1554"/>
      <c r="IV18" s="1554"/>
    </row>
    <row r="19" spans="1:256" ht="13.5" thickBot="1" x14ac:dyDescent="0.25">
      <c r="A19" s="1569"/>
      <c r="B19" s="1603"/>
      <c r="C19" s="1601"/>
      <c r="D19" s="1579"/>
      <c r="E19" s="1580"/>
      <c r="F19" s="1565" t="s">
        <v>34</v>
      </c>
      <c r="G19" s="1602"/>
      <c r="H19" s="1566">
        <f>SQRT(I19^2+J19^2)*1000/(1.73*I23)</f>
        <v>71.336514376499863</v>
      </c>
      <c r="I19" s="1567">
        <v>1.2705</v>
      </c>
      <c r="J19" s="1568">
        <v>4.0500000000000001E-2</v>
      </c>
      <c r="K19" s="1566">
        <f>SQRT(L19^2+M19^2)*1000/(1.73*L23)</f>
        <v>69.824854712756292</v>
      </c>
      <c r="L19" s="1567">
        <v>1.2435</v>
      </c>
      <c r="M19" s="1568">
        <v>4.2000000000000003E-2</v>
      </c>
      <c r="N19" s="1566">
        <f>SQRT(O19^2+P19^2)*1000/(1.73*O23)</f>
        <v>71.257946488875788</v>
      </c>
      <c r="O19" s="1567">
        <v>1.2689999999999999</v>
      </c>
      <c r="P19" s="1568">
        <v>4.3499999999999997E-2</v>
      </c>
      <c r="Q19" s="1566">
        <f>SQRT(R19^2+S19^2)*1000/(1.73*R23)</f>
        <v>68.905376625171172</v>
      </c>
      <c r="R19" s="1567">
        <v>1.2270000000000001</v>
      </c>
      <c r="S19" s="1568">
        <v>4.4999999999999998E-2</v>
      </c>
      <c r="T19" s="1566">
        <f>SQRT(U19^2+V19^2)*1000/(1.73*U23)</f>
        <v>72.438669122282647</v>
      </c>
      <c r="U19" s="1567">
        <v>1.29</v>
      </c>
      <c r="V19" s="1568">
        <v>4.4999999999999998E-2</v>
      </c>
      <c r="W19" s="1566">
        <f>SQRT(X19^2+Y19^2)*1000/(1.73*X23)</f>
        <v>71.759916639652872</v>
      </c>
      <c r="X19" s="1567">
        <v>1.278</v>
      </c>
      <c r="Y19" s="1568">
        <v>4.2000000000000003E-2</v>
      </c>
      <c r="Z19" s="1566">
        <f>SQRT(AA19^2+AB19^2)*1000/(1.73*AA23)</f>
        <v>73.516737858346957</v>
      </c>
      <c r="AA19" s="1567">
        <v>1.3095000000000001</v>
      </c>
      <c r="AB19" s="1568">
        <v>3.5999999999999997E-2</v>
      </c>
      <c r="AC19" s="1566">
        <f>SQRT(AD19^2+AE19^2)*1000/(1.73*AD23)</f>
        <v>73.502904666604977</v>
      </c>
      <c r="AD19" s="1567">
        <v>1.3095000000000001</v>
      </c>
      <c r="AE19" s="1568">
        <v>2.5499999999999998E-2</v>
      </c>
      <c r="AF19" s="1566">
        <f>SQRT(AG19^2+AH19^2)*1000/(1.73*AG23)</f>
        <v>74.846501291556379</v>
      </c>
      <c r="AG19" s="1567">
        <v>1.3334999999999999</v>
      </c>
      <c r="AH19" s="1568">
        <v>2.2499999999999999E-2</v>
      </c>
      <c r="AI19" s="1566">
        <f>SQRT(AJ19^2+AK19^2)*1000/(1.73*AJ23)</f>
        <v>76.28195664507723</v>
      </c>
      <c r="AJ19" s="1567">
        <v>1.359</v>
      </c>
      <c r="AK19" s="1568">
        <v>2.7E-2</v>
      </c>
      <c r="AL19" s="1566">
        <f>SQRT(AM19^2+AN19^2)*1000/(1.73*AM23)</f>
        <v>75.61038608255663</v>
      </c>
      <c r="AM19" s="1567">
        <v>1.347</v>
      </c>
      <c r="AN19" s="1568">
        <v>2.8500000000000001E-2</v>
      </c>
      <c r="AO19" s="1566">
        <f>SQRT(AP19^2+AQ19^2)*1000/(1.73*AP23)</f>
        <v>75.691176815417833</v>
      </c>
      <c r="AP19" s="1567">
        <v>1.3485</v>
      </c>
      <c r="AQ19" s="1568">
        <v>2.5499999999999998E-2</v>
      </c>
      <c r="AR19" s="1566">
        <f>SQRT(AS19^2+AT19^2)*1000/(1.73*AS23)</f>
        <v>75.43567674164774</v>
      </c>
      <c r="AS19" s="1567">
        <v>1.3440000000000001</v>
      </c>
      <c r="AT19" s="1568">
        <v>2.2499999999999999E-2</v>
      </c>
      <c r="AU19" s="1566">
        <f>SQRT(AV19^2+AW19^2)*1000/(1.73*AV23)</f>
        <v>73.432589879300849</v>
      </c>
      <c r="AV19" s="1567">
        <v>1.3080000000000001</v>
      </c>
      <c r="AW19" s="1568">
        <v>3.5999999999999997E-2</v>
      </c>
      <c r="AX19" s="1566">
        <f>SQRT(AY19^2+AZ19^2)*1000/(1.73*AY23)</f>
        <v>76.209510307482375</v>
      </c>
      <c r="AY19" s="1567">
        <v>1.3574999999999999</v>
      </c>
      <c r="AZ19" s="1568">
        <v>3.5999999999999997E-2</v>
      </c>
      <c r="BA19" s="1566">
        <f>SQRT(BB19^2+BC19^2)*1000/(1.73*BB23)</f>
        <v>76.882714163375823</v>
      </c>
      <c r="BB19" s="1567">
        <v>1.3694999999999999</v>
      </c>
      <c r="BC19" s="1568">
        <v>3.5999999999999997E-2</v>
      </c>
      <c r="BD19" s="1566">
        <f>SQRT(BE19^2+BF19^2)*1000/(1.73*BE23)</f>
        <v>78.14081086752185</v>
      </c>
      <c r="BE19" s="1567">
        <v>1.3919999999999999</v>
      </c>
      <c r="BF19" s="1568">
        <v>3.3000000000000002E-2</v>
      </c>
      <c r="BG19" s="1566">
        <f>SQRT(BH19^2+BI19^2)*1000/(1.73*BH23)</f>
        <v>77.215096195459594</v>
      </c>
      <c r="BH19" s="1567">
        <v>1.3754999999999999</v>
      </c>
      <c r="BI19" s="1568">
        <v>3.3000000000000002E-2</v>
      </c>
      <c r="BJ19" s="1566">
        <f>SQRT(BK19^2+BL19^2)*1000/(1.73*BK23)</f>
        <v>77.894756397616632</v>
      </c>
      <c r="BK19" s="1567">
        <v>1.3875</v>
      </c>
      <c r="BL19" s="1568">
        <v>3.7499999999999999E-2</v>
      </c>
      <c r="BM19" s="1566">
        <f>SQRT(BN19^2+BO19^2)*1000/(1.73*BN23)</f>
        <v>78.315502622713595</v>
      </c>
      <c r="BN19" s="1567">
        <v>1.395</v>
      </c>
      <c r="BO19" s="1568">
        <v>3.7499999999999999E-2</v>
      </c>
      <c r="BP19" s="1566">
        <f>SQRT(BQ19^2+BR19^2)*1000/(1.73*BQ23)</f>
        <v>78.822692755979006</v>
      </c>
      <c r="BQ19" s="1567">
        <v>1.4039999999999999</v>
      </c>
      <c r="BR19" s="1568">
        <v>3.9E-2</v>
      </c>
      <c r="BS19" s="1566">
        <f>SQRT(BT19^2+BU19^2)*1000/(1.73*BT23)</f>
        <v>76.543936181067551</v>
      </c>
      <c r="BT19" s="1567">
        <v>1.3634999999999999</v>
      </c>
      <c r="BU19" s="1568">
        <v>3.4500000000000003E-2</v>
      </c>
      <c r="BV19" s="1566">
        <f>SQRT(BW19^2+BX19^2)*1000/(1.73*BW23)</f>
        <v>76.387459267333469</v>
      </c>
      <c r="BW19" s="1567">
        <v>1.3605</v>
      </c>
      <c r="BX19" s="1568">
        <v>4.2000000000000003E-2</v>
      </c>
      <c r="BY19" s="1566">
        <f>SQRT(BZ19^2+CA19^2)*1000/(1.73*BZ23)</f>
        <v>74.194699879696699</v>
      </c>
      <c r="BZ19" s="1567">
        <v>1.3214999999999999</v>
      </c>
      <c r="CA19" s="1568">
        <v>3.9E-2</v>
      </c>
      <c r="CB19" s="1230">
        <f>SUM(I19,L19,O19,R19,U19,X19,AA19,AD19,AG19,AJ19,AM19,AP19,AS19,AV19,AY19,BB19,BE19,BH19,BK19,BN19,BQ19,BT19,BW19,BZ19)</f>
        <v>31.963499999999989</v>
      </c>
      <c r="CC19" s="1230">
        <f t="shared" si="1"/>
        <v>0.8490000000000002</v>
      </c>
      <c r="CD19" s="1554"/>
      <c r="CE19" s="1554"/>
      <c r="CF19" s="1554"/>
      <c r="CG19" s="1554"/>
      <c r="CH19" s="1554"/>
      <c r="CI19" s="1554"/>
      <c r="CJ19" s="1554"/>
      <c r="CK19" s="1554"/>
      <c r="CL19" s="1554"/>
      <c r="CM19" s="1554"/>
      <c r="CN19" s="1554"/>
      <c r="CO19" s="1554"/>
      <c r="CP19" s="1554"/>
      <c r="CQ19" s="1554"/>
      <c r="CR19" s="1554"/>
      <c r="CS19" s="1554"/>
      <c r="CT19" s="1554"/>
      <c r="CU19" s="1554"/>
      <c r="CV19" s="1554"/>
      <c r="CW19" s="1554"/>
      <c r="CX19" s="1554"/>
      <c r="CY19" s="1554"/>
      <c r="CZ19" s="1554"/>
      <c r="DA19" s="1554"/>
      <c r="DB19" s="1554"/>
      <c r="DC19" s="1554"/>
      <c r="DD19" s="1554"/>
      <c r="DE19" s="1554"/>
      <c r="DF19" s="1554"/>
      <c r="DG19" s="1554"/>
      <c r="DH19" s="1554"/>
      <c r="DI19" s="1554"/>
      <c r="DJ19" s="1554"/>
      <c r="DK19" s="1554"/>
      <c r="DL19" s="1554"/>
      <c r="DM19" s="1554"/>
      <c r="DN19" s="1554"/>
      <c r="DO19" s="1554"/>
      <c r="DP19" s="1554"/>
      <c r="DQ19" s="1554"/>
      <c r="DR19" s="1554"/>
      <c r="DS19" s="1554"/>
      <c r="DT19" s="1554"/>
      <c r="DU19" s="1554"/>
      <c r="DV19" s="1554"/>
      <c r="DW19" s="1554"/>
      <c r="DX19" s="1554"/>
      <c r="DY19" s="1554"/>
      <c r="DZ19" s="1554"/>
      <c r="EA19" s="1554"/>
      <c r="EB19" s="1554"/>
      <c r="EC19" s="1554"/>
      <c r="ED19" s="1554"/>
      <c r="EE19" s="1554"/>
      <c r="EF19" s="1554"/>
      <c r="EG19" s="1554"/>
      <c r="EH19" s="1554"/>
      <c r="EI19" s="1554"/>
      <c r="EJ19" s="1554"/>
      <c r="EK19" s="1554"/>
      <c r="EL19" s="1554"/>
      <c r="EM19" s="1554"/>
      <c r="EN19" s="1554"/>
      <c r="EO19" s="1554"/>
      <c r="EP19" s="1554"/>
      <c r="EQ19" s="1554"/>
      <c r="ER19" s="1554"/>
      <c r="ES19" s="1554"/>
      <c r="ET19" s="1554"/>
      <c r="EU19" s="1554"/>
      <c r="EV19" s="1554"/>
      <c r="EW19" s="1554"/>
      <c r="EX19" s="1554"/>
      <c r="EY19" s="1554"/>
      <c r="EZ19" s="1554"/>
      <c r="FA19" s="1554"/>
      <c r="FB19" s="1554"/>
      <c r="FC19" s="1554"/>
      <c r="FD19" s="1554"/>
      <c r="FE19" s="1554"/>
      <c r="FF19" s="1554"/>
      <c r="FG19" s="1554"/>
      <c r="FH19" s="1554"/>
      <c r="FI19" s="1554"/>
      <c r="FJ19" s="1554"/>
      <c r="FK19" s="1554"/>
      <c r="FL19" s="1554"/>
      <c r="FM19" s="1554"/>
      <c r="FN19" s="1554"/>
      <c r="FO19" s="1554"/>
      <c r="FP19" s="1554"/>
      <c r="FQ19" s="1554"/>
      <c r="FR19" s="1554"/>
      <c r="FS19" s="1554"/>
      <c r="FT19" s="1554"/>
      <c r="FU19" s="1554"/>
      <c r="FV19" s="1554"/>
      <c r="FW19" s="1554"/>
      <c r="FX19" s="1554"/>
      <c r="FY19" s="1554"/>
      <c r="FZ19" s="1554"/>
      <c r="GA19" s="1554"/>
      <c r="GB19" s="1554"/>
      <c r="GC19" s="1554"/>
      <c r="GD19" s="1554"/>
      <c r="GE19" s="1554"/>
      <c r="GF19" s="1554"/>
      <c r="GG19" s="1554"/>
      <c r="GH19" s="1554"/>
      <c r="GI19" s="1554"/>
      <c r="GJ19" s="1554"/>
      <c r="GK19" s="1554"/>
      <c r="GL19" s="1554"/>
      <c r="GM19" s="1554"/>
      <c r="GN19" s="1554"/>
      <c r="GO19" s="1554"/>
      <c r="GP19" s="1554"/>
      <c r="GQ19" s="1554"/>
      <c r="GR19" s="1554"/>
      <c r="GS19" s="1554"/>
      <c r="GT19" s="1554"/>
      <c r="GU19" s="1554"/>
      <c r="GV19" s="1554"/>
      <c r="GW19" s="1554"/>
      <c r="GX19" s="1554"/>
      <c r="GY19" s="1554"/>
      <c r="GZ19" s="1554"/>
      <c r="HA19" s="1554"/>
      <c r="HB19" s="1554"/>
      <c r="HC19" s="1554"/>
      <c r="HD19" s="1554"/>
      <c r="HE19" s="1554"/>
      <c r="HF19" s="1554"/>
      <c r="HG19" s="1554"/>
      <c r="HH19" s="1554"/>
      <c r="HI19" s="1554"/>
      <c r="HJ19" s="1554"/>
      <c r="HK19" s="1554"/>
      <c r="HL19" s="1554"/>
      <c r="HM19" s="1554"/>
      <c r="HN19" s="1554"/>
      <c r="HO19" s="1554"/>
      <c r="HP19" s="1554"/>
      <c r="HQ19" s="1554"/>
      <c r="HR19" s="1554"/>
      <c r="HS19" s="1554"/>
      <c r="HT19" s="1554"/>
      <c r="HU19" s="1554"/>
      <c r="HV19" s="1554"/>
      <c r="HW19" s="1554"/>
      <c r="HX19" s="1554"/>
      <c r="HY19" s="1554"/>
      <c r="HZ19" s="1554"/>
      <c r="IA19" s="1554"/>
      <c r="IB19" s="1554"/>
      <c r="IC19" s="1554"/>
      <c r="ID19" s="1554"/>
      <c r="IE19" s="1554"/>
      <c r="IF19" s="1554"/>
      <c r="IG19" s="1554"/>
      <c r="IH19" s="1554"/>
      <c r="II19" s="1554"/>
      <c r="IJ19" s="1554"/>
      <c r="IK19" s="1554"/>
      <c r="IL19" s="1554"/>
      <c r="IM19" s="1554"/>
      <c r="IN19" s="1554"/>
      <c r="IO19" s="1554"/>
      <c r="IP19" s="1554"/>
      <c r="IQ19" s="1554"/>
      <c r="IR19" s="1554"/>
      <c r="IS19" s="1554"/>
      <c r="IT19" s="1554"/>
      <c r="IU19" s="1554"/>
      <c r="IV19" s="1554"/>
    </row>
    <row r="20" spans="1:256" ht="13.5" thickBot="1" x14ac:dyDescent="0.25">
      <c r="A20" s="1569"/>
      <c r="B20" s="1580" t="s">
        <v>1</v>
      </c>
      <c r="C20" s="1601">
        <v>40</v>
      </c>
      <c r="D20" s="1572" t="s">
        <v>39</v>
      </c>
      <c r="E20" s="1573"/>
      <c r="F20" s="1573"/>
      <c r="G20" s="1574"/>
      <c r="H20" s="1575"/>
      <c r="I20" s="1576">
        <v>6</v>
      </c>
      <c r="J20" s="1577"/>
      <c r="K20" s="1575"/>
      <c r="L20" s="1576">
        <v>6</v>
      </c>
      <c r="M20" s="1577"/>
      <c r="N20" s="1575"/>
      <c r="O20" s="1576">
        <v>6</v>
      </c>
      <c r="P20" s="1577"/>
      <c r="Q20" s="1575"/>
      <c r="R20" s="1576">
        <v>6</v>
      </c>
      <c r="S20" s="1577"/>
      <c r="T20" s="1575"/>
      <c r="U20" s="1576">
        <v>6</v>
      </c>
      <c r="V20" s="1577"/>
      <c r="W20" s="1575"/>
      <c r="X20" s="1576">
        <v>6</v>
      </c>
      <c r="Y20" s="1577"/>
      <c r="Z20" s="1575"/>
      <c r="AA20" s="1576">
        <v>6</v>
      </c>
      <c r="AB20" s="1577"/>
      <c r="AC20" s="1575"/>
      <c r="AD20" s="1576">
        <v>6</v>
      </c>
      <c r="AE20" s="1577"/>
      <c r="AF20" s="1575"/>
      <c r="AG20" s="1576">
        <v>6</v>
      </c>
      <c r="AH20" s="1577"/>
      <c r="AI20" s="1575"/>
      <c r="AJ20" s="1576">
        <v>6</v>
      </c>
      <c r="AK20" s="1577"/>
      <c r="AL20" s="1575"/>
      <c r="AM20" s="1576">
        <v>6</v>
      </c>
      <c r="AN20" s="1577"/>
      <c r="AO20" s="1575"/>
      <c r="AP20" s="1576">
        <v>6</v>
      </c>
      <c r="AQ20" s="1577"/>
      <c r="AR20" s="1575"/>
      <c r="AS20" s="1576">
        <v>6</v>
      </c>
      <c r="AT20" s="1577"/>
      <c r="AU20" s="1575"/>
      <c r="AV20" s="1576">
        <v>6</v>
      </c>
      <c r="AW20" s="1577"/>
      <c r="AX20" s="1575"/>
      <c r="AY20" s="1576">
        <v>6</v>
      </c>
      <c r="AZ20" s="1577"/>
      <c r="BA20" s="1575"/>
      <c r="BB20" s="1576">
        <v>6</v>
      </c>
      <c r="BC20" s="1577"/>
      <c r="BD20" s="1575"/>
      <c r="BE20" s="1576">
        <v>6</v>
      </c>
      <c r="BF20" s="1577"/>
      <c r="BG20" s="1575"/>
      <c r="BH20" s="1576">
        <v>6</v>
      </c>
      <c r="BI20" s="1577"/>
      <c r="BJ20" s="1575"/>
      <c r="BK20" s="1576">
        <v>6</v>
      </c>
      <c r="BL20" s="1577"/>
      <c r="BM20" s="1575"/>
      <c r="BN20" s="1576">
        <v>6</v>
      </c>
      <c r="BO20" s="1577"/>
      <c r="BP20" s="1575"/>
      <c r="BQ20" s="1576">
        <v>6</v>
      </c>
      <c r="BR20" s="1577"/>
      <c r="BS20" s="1575"/>
      <c r="BT20" s="1576">
        <v>6</v>
      </c>
      <c r="BU20" s="1577"/>
      <c r="BV20" s="1575"/>
      <c r="BW20" s="1576">
        <v>6</v>
      </c>
      <c r="BX20" s="1577"/>
      <c r="BY20" s="1575"/>
      <c r="BZ20" s="1576">
        <v>6</v>
      </c>
      <c r="CA20" s="1577"/>
      <c r="CB20" s="1554"/>
      <c r="CC20" s="1554"/>
      <c r="CD20" s="1554"/>
      <c r="CE20" s="1554"/>
      <c r="CF20" s="1554"/>
      <c r="CG20" s="1554"/>
      <c r="CH20" s="1554"/>
      <c r="CI20" s="1554"/>
      <c r="CJ20" s="1554"/>
      <c r="CK20" s="1554"/>
      <c r="CL20" s="1554"/>
      <c r="CM20" s="1554"/>
      <c r="CN20" s="1554"/>
      <c r="CO20" s="1554"/>
      <c r="CP20" s="1554"/>
      <c r="CQ20" s="1554"/>
      <c r="CR20" s="1554"/>
      <c r="CS20" s="1554"/>
      <c r="CT20" s="1554"/>
      <c r="CU20" s="1554"/>
      <c r="CV20" s="1554"/>
      <c r="CW20" s="1554"/>
      <c r="CX20" s="1554"/>
      <c r="CY20" s="1554"/>
      <c r="CZ20" s="1554"/>
      <c r="DA20" s="1554"/>
      <c r="DB20" s="1554"/>
      <c r="DC20" s="1554"/>
      <c r="DD20" s="1554"/>
      <c r="DE20" s="1554"/>
      <c r="DF20" s="1554"/>
      <c r="DG20" s="1554"/>
      <c r="DH20" s="1554"/>
      <c r="DI20" s="1554"/>
      <c r="DJ20" s="1554"/>
      <c r="DK20" s="1554"/>
      <c r="DL20" s="1554"/>
      <c r="DM20" s="1554"/>
      <c r="DN20" s="1554"/>
      <c r="DO20" s="1554"/>
      <c r="DP20" s="1554"/>
      <c r="DQ20" s="1554"/>
      <c r="DR20" s="1554"/>
      <c r="DS20" s="1554"/>
      <c r="DT20" s="1554"/>
      <c r="DU20" s="1554"/>
      <c r="DV20" s="1554"/>
      <c r="DW20" s="1554"/>
      <c r="DX20" s="1554"/>
      <c r="DY20" s="1554"/>
      <c r="DZ20" s="1554"/>
      <c r="EA20" s="1554"/>
      <c r="EB20" s="1554"/>
      <c r="EC20" s="1554"/>
      <c r="ED20" s="1554"/>
      <c r="EE20" s="1554"/>
      <c r="EF20" s="1554"/>
      <c r="EG20" s="1554"/>
      <c r="EH20" s="1554"/>
      <c r="EI20" s="1554"/>
      <c r="EJ20" s="1554"/>
      <c r="EK20" s="1554"/>
      <c r="EL20" s="1554"/>
      <c r="EM20" s="1554"/>
      <c r="EN20" s="1554"/>
      <c r="EO20" s="1554"/>
      <c r="EP20" s="1554"/>
      <c r="EQ20" s="1554"/>
      <c r="ER20" s="1554"/>
      <c r="ES20" s="1554"/>
      <c r="ET20" s="1554"/>
      <c r="EU20" s="1554"/>
      <c r="EV20" s="1554"/>
      <c r="EW20" s="1554"/>
      <c r="EX20" s="1554"/>
      <c r="EY20" s="1554"/>
      <c r="EZ20" s="1554"/>
      <c r="FA20" s="1554"/>
      <c r="FB20" s="1554"/>
      <c r="FC20" s="1554"/>
      <c r="FD20" s="1554"/>
      <c r="FE20" s="1554"/>
      <c r="FF20" s="1554"/>
      <c r="FG20" s="1554"/>
      <c r="FH20" s="1554"/>
      <c r="FI20" s="1554"/>
      <c r="FJ20" s="1554"/>
      <c r="FK20" s="1554"/>
      <c r="FL20" s="1554"/>
      <c r="FM20" s="1554"/>
      <c r="FN20" s="1554"/>
      <c r="FO20" s="1554"/>
      <c r="FP20" s="1554"/>
      <c r="FQ20" s="1554"/>
      <c r="FR20" s="1554"/>
      <c r="FS20" s="1554"/>
      <c r="FT20" s="1554"/>
      <c r="FU20" s="1554"/>
      <c r="FV20" s="1554"/>
      <c r="FW20" s="1554"/>
      <c r="FX20" s="1554"/>
      <c r="FY20" s="1554"/>
      <c r="FZ20" s="1554"/>
      <c r="GA20" s="1554"/>
      <c r="GB20" s="1554"/>
      <c r="GC20" s="1554"/>
      <c r="GD20" s="1554"/>
      <c r="GE20" s="1554"/>
      <c r="GF20" s="1554"/>
      <c r="GG20" s="1554"/>
      <c r="GH20" s="1554"/>
      <c r="GI20" s="1554"/>
      <c r="GJ20" s="1554"/>
      <c r="GK20" s="1554"/>
      <c r="GL20" s="1554"/>
      <c r="GM20" s="1554"/>
      <c r="GN20" s="1554"/>
      <c r="GO20" s="1554"/>
      <c r="GP20" s="1554"/>
      <c r="GQ20" s="1554"/>
      <c r="GR20" s="1554"/>
      <c r="GS20" s="1554"/>
      <c r="GT20" s="1554"/>
      <c r="GU20" s="1554"/>
      <c r="GV20" s="1554"/>
      <c r="GW20" s="1554"/>
      <c r="GX20" s="1554"/>
      <c r="GY20" s="1554"/>
      <c r="GZ20" s="1554"/>
      <c r="HA20" s="1554"/>
      <c r="HB20" s="1554"/>
      <c r="HC20" s="1554"/>
      <c r="HD20" s="1554"/>
      <c r="HE20" s="1554"/>
      <c r="HF20" s="1554"/>
      <c r="HG20" s="1554"/>
      <c r="HH20" s="1554"/>
      <c r="HI20" s="1554"/>
      <c r="HJ20" s="1554"/>
      <c r="HK20" s="1554"/>
      <c r="HL20" s="1554"/>
      <c r="HM20" s="1554"/>
      <c r="HN20" s="1554"/>
      <c r="HO20" s="1554"/>
      <c r="HP20" s="1554"/>
      <c r="HQ20" s="1554"/>
      <c r="HR20" s="1554"/>
      <c r="HS20" s="1554"/>
      <c r="HT20" s="1554"/>
      <c r="HU20" s="1554"/>
      <c r="HV20" s="1554"/>
      <c r="HW20" s="1554"/>
      <c r="HX20" s="1554"/>
      <c r="HY20" s="1554"/>
      <c r="HZ20" s="1554"/>
      <c r="IA20" s="1554"/>
      <c r="IB20" s="1554"/>
      <c r="IC20" s="1554"/>
      <c r="ID20" s="1554"/>
      <c r="IE20" s="1554"/>
      <c r="IF20" s="1554"/>
      <c r="IG20" s="1554"/>
      <c r="IH20" s="1554"/>
      <c r="II20" s="1554"/>
      <c r="IJ20" s="1554"/>
      <c r="IK20" s="1554"/>
      <c r="IL20" s="1554"/>
      <c r="IM20" s="1554"/>
      <c r="IN20" s="1554"/>
      <c r="IO20" s="1554"/>
      <c r="IP20" s="1554"/>
      <c r="IQ20" s="1554"/>
      <c r="IR20" s="1554"/>
      <c r="IS20" s="1554"/>
      <c r="IT20" s="1554"/>
      <c r="IU20" s="1554"/>
      <c r="IV20" s="1554"/>
    </row>
    <row r="21" spans="1:256" x14ac:dyDescent="0.2">
      <c r="A21" s="1604"/>
      <c r="B21" s="1605"/>
      <c r="C21" s="1606"/>
      <c r="D21" s="1607"/>
      <c r="E21" s="470"/>
      <c r="F21" s="1608" t="s">
        <v>33</v>
      </c>
      <c r="G21" s="1609"/>
      <c r="H21" s="1583"/>
      <c r="I21" s="1584">
        <v>117</v>
      </c>
      <c r="J21" s="1585"/>
      <c r="K21" s="1583"/>
      <c r="L21" s="1584">
        <v>117</v>
      </c>
      <c r="M21" s="1585"/>
      <c r="N21" s="1583"/>
      <c r="O21" s="1584">
        <v>117</v>
      </c>
      <c r="P21" s="1585"/>
      <c r="Q21" s="1583"/>
      <c r="R21" s="1584">
        <v>117</v>
      </c>
      <c r="S21" s="1585"/>
      <c r="T21" s="1583"/>
      <c r="U21" s="1584">
        <v>117</v>
      </c>
      <c r="V21" s="1585"/>
      <c r="W21" s="1583"/>
      <c r="X21" s="1584">
        <v>117</v>
      </c>
      <c r="Y21" s="1585"/>
      <c r="Z21" s="1583"/>
      <c r="AA21" s="1584">
        <v>117</v>
      </c>
      <c r="AB21" s="1585"/>
      <c r="AC21" s="1583"/>
      <c r="AD21" s="1584">
        <v>117</v>
      </c>
      <c r="AE21" s="1585"/>
      <c r="AF21" s="1583"/>
      <c r="AG21" s="1584">
        <v>117</v>
      </c>
      <c r="AH21" s="1585"/>
      <c r="AI21" s="1583"/>
      <c r="AJ21" s="1584">
        <v>117</v>
      </c>
      <c r="AK21" s="1585"/>
      <c r="AL21" s="1583"/>
      <c r="AM21" s="1584">
        <v>117</v>
      </c>
      <c r="AN21" s="1585"/>
      <c r="AO21" s="1583"/>
      <c r="AP21" s="1584">
        <v>117</v>
      </c>
      <c r="AQ21" s="1585"/>
      <c r="AR21" s="1583"/>
      <c r="AS21" s="1584">
        <v>117</v>
      </c>
      <c r="AT21" s="1585"/>
      <c r="AU21" s="1583"/>
      <c r="AV21" s="1584">
        <v>117</v>
      </c>
      <c r="AW21" s="1585"/>
      <c r="AX21" s="1583"/>
      <c r="AY21" s="1584">
        <v>117</v>
      </c>
      <c r="AZ21" s="1585"/>
      <c r="BA21" s="1583"/>
      <c r="BB21" s="1584">
        <v>117</v>
      </c>
      <c r="BC21" s="1585"/>
      <c r="BD21" s="1583"/>
      <c r="BE21" s="1584">
        <v>117</v>
      </c>
      <c r="BF21" s="1585"/>
      <c r="BG21" s="1583"/>
      <c r="BH21" s="1584">
        <v>117</v>
      </c>
      <c r="BI21" s="1585"/>
      <c r="BJ21" s="1583"/>
      <c r="BK21" s="1584">
        <v>117</v>
      </c>
      <c r="BL21" s="1585"/>
      <c r="BM21" s="1583"/>
      <c r="BN21" s="1584">
        <v>117</v>
      </c>
      <c r="BO21" s="1585"/>
      <c r="BP21" s="1583"/>
      <c r="BQ21" s="1584">
        <v>117</v>
      </c>
      <c r="BR21" s="1585"/>
      <c r="BS21" s="1583"/>
      <c r="BT21" s="1584">
        <v>117</v>
      </c>
      <c r="BU21" s="1585"/>
      <c r="BV21" s="1583"/>
      <c r="BW21" s="1584">
        <v>117</v>
      </c>
      <c r="BX21" s="1585"/>
      <c r="BY21" s="1583"/>
      <c r="BZ21" s="1584">
        <v>117</v>
      </c>
      <c r="CA21" s="1585"/>
    </row>
    <row r="22" spans="1:256" x14ac:dyDescent="0.2">
      <c r="A22" s="1607"/>
      <c r="B22" s="470"/>
      <c r="C22" s="1610"/>
      <c r="D22" s="1607" t="s">
        <v>14</v>
      </c>
      <c r="E22" s="1611"/>
      <c r="F22" s="1612" t="s">
        <v>36</v>
      </c>
      <c r="G22" s="1613"/>
      <c r="H22" s="1588"/>
      <c r="I22" s="1589">
        <v>36.4</v>
      </c>
      <c r="J22" s="1590"/>
      <c r="K22" s="1588"/>
      <c r="L22" s="1589">
        <v>36.4</v>
      </c>
      <c r="M22" s="1590"/>
      <c r="N22" s="1588"/>
      <c r="O22" s="1589">
        <v>36.4</v>
      </c>
      <c r="P22" s="1590"/>
      <c r="Q22" s="1588"/>
      <c r="R22" s="1589">
        <v>36.4</v>
      </c>
      <c r="S22" s="1590"/>
      <c r="T22" s="1588"/>
      <c r="U22" s="1589">
        <v>36.4</v>
      </c>
      <c r="V22" s="1590"/>
      <c r="W22" s="1588"/>
      <c r="X22" s="1589">
        <v>36.4</v>
      </c>
      <c r="Y22" s="1590"/>
      <c r="Z22" s="1588"/>
      <c r="AA22" s="1589">
        <v>36.4</v>
      </c>
      <c r="AB22" s="1590"/>
      <c r="AC22" s="1588"/>
      <c r="AD22" s="1589">
        <v>36.4</v>
      </c>
      <c r="AE22" s="1590"/>
      <c r="AF22" s="1588"/>
      <c r="AG22" s="1589">
        <v>36.4</v>
      </c>
      <c r="AH22" s="1590"/>
      <c r="AI22" s="1588"/>
      <c r="AJ22" s="1589">
        <v>36.4</v>
      </c>
      <c r="AK22" s="1590"/>
      <c r="AL22" s="1588"/>
      <c r="AM22" s="1589">
        <v>36.4</v>
      </c>
      <c r="AN22" s="1590"/>
      <c r="AO22" s="1588"/>
      <c r="AP22" s="1589">
        <v>36.4</v>
      </c>
      <c r="AQ22" s="1590"/>
      <c r="AR22" s="1588"/>
      <c r="AS22" s="1589">
        <v>36.4</v>
      </c>
      <c r="AT22" s="1590"/>
      <c r="AU22" s="1588"/>
      <c r="AV22" s="1589">
        <v>36.4</v>
      </c>
      <c r="AW22" s="1590"/>
      <c r="AX22" s="1588"/>
      <c r="AY22" s="1589">
        <v>36.4</v>
      </c>
      <c r="AZ22" s="1590"/>
      <c r="BA22" s="1588"/>
      <c r="BB22" s="1589">
        <v>36.4</v>
      </c>
      <c r="BC22" s="1590"/>
      <c r="BD22" s="1588"/>
      <c r="BE22" s="1589">
        <v>36.4</v>
      </c>
      <c r="BF22" s="1590"/>
      <c r="BG22" s="1588"/>
      <c r="BH22" s="1589">
        <v>36.4</v>
      </c>
      <c r="BI22" s="1590"/>
      <c r="BJ22" s="1588"/>
      <c r="BK22" s="1589">
        <v>36.4</v>
      </c>
      <c r="BL22" s="1590"/>
      <c r="BM22" s="1588"/>
      <c r="BN22" s="1589">
        <v>36.4</v>
      </c>
      <c r="BO22" s="1590"/>
      <c r="BP22" s="1588"/>
      <c r="BQ22" s="1589">
        <v>36.4</v>
      </c>
      <c r="BR22" s="1590"/>
      <c r="BS22" s="1588"/>
      <c r="BT22" s="1589">
        <v>36.4</v>
      </c>
      <c r="BU22" s="1590"/>
      <c r="BV22" s="1588"/>
      <c r="BW22" s="1589">
        <v>36.4</v>
      </c>
      <c r="BX22" s="1590"/>
      <c r="BY22" s="1588"/>
      <c r="BZ22" s="1589">
        <v>36.4</v>
      </c>
      <c r="CA22" s="1590"/>
    </row>
    <row r="23" spans="1:256" ht="13.5" thickBot="1" x14ac:dyDescent="0.25">
      <c r="A23" s="1607"/>
      <c r="B23" s="470"/>
      <c r="C23" s="1606"/>
      <c r="D23" s="1607"/>
      <c r="E23" s="1611"/>
      <c r="F23" s="1614" t="s">
        <v>34</v>
      </c>
      <c r="G23" s="1615"/>
      <c r="H23" s="1588"/>
      <c r="I23" s="1592">
        <v>10.3</v>
      </c>
      <c r="J23" s="1593"/>
      <c r="K23" s="1588"/>
      <c r="L23" s="1592">
        <v>10.3</v>
      </c>
      <c r="M23" s="1593"/>
      <c r="N23" s="1588"/>
      <c r="O23" s="1592">
        <v>10.3</v>
      </c>
      <c r="P23" s="1593"/>
      <c r="Q23" s="1588"/>
      <c r="R23" s="1592">
        <v>10.3</v>
      </c>
      <c r="S23" s="1593"/>
      <c r="T23" s="1588"/>
      <c r="U23" s="1592">
        <v>10.3</v>
      </c>
      <c r="V23" s="1593"/>
      <c r="W23" s="1588"/>
      <c r="X23" s="1592">
        <v>10.3</v>
      </c>
      <c r="Y23" s="1593"/>
      <c r="Z23" s="1588"/>
      <c r="AA23" s="1592">
        <v>10.3</v>
      </c>
      <c r="AB23" s="1593"/>
      <c r="AC23" s="1588"/>
      <c r="AD23" s="1592">
        <v>10.3</v>
      </c>
      <c r="AE23" s="1593"/>
      <c r="AF23" s="1588"/>
      <c r="AG23" s="1592">
        <v>10.3</v>
      </c>
      <c r="AH23" s="1593"/>
      <c r="AI23" s="1588"/>
      <c r="AJ23" s="1592">
        <v>10.3</v>
      </c>
      <c r="AK23" s="1593"/>
      <c r="AL23" s="1588"/>
      <c r="AM23" s="1592">
        <v>10.3</v>
      </c>
      <c r="AN23" s="1593"/>
      <c r="AO23" s="1588"/>
      <c r="AP23" s="1592">
        <v>10.3</v>
      </c>
      <c r="AQ23" s="1593"/>
      <c r="AR23" s="1588"/>
      <c r="AS23" s="1592">
        <v>10.3</v>
      </c>
      <c r="AT23" s="1593"/>
      <c r="AU23" s="1588"/>
      <c r="AV23" s="1592">
        <v>10.3</v>
      </c>
      <c r="AW23" s="1593"/>
      <c r="AX23" s="1588"/>
      <c r="AY23" s="1592">
        <v>10.3</v>
      </c>
      <c r="AZ23" s="1593"/>
      <c r="BA23" s="1588"/>
      <c r="BB23" s="1592">
        <v>10.3</v>
      </c>
      <c r="BC23" s="1593"/>
      <c r="BD23" s="1588"/>
      <c r="BE23" s="1592">
        <v>10.3</v>
      </c>
      <c r="BF23" s="1593"/>
      <c r="BG23" s="1588"/>
      <c r="BH23" s="1592">
        <v>10.3</v>
      </c>
      <c r="BI23" s="1593"/>
      <c r="BJ23" s="1588"/>
      <c r="BK23" s="1592">
        <v>10.3</v>
      </c>
      <c r="BL23" s="1593"/>
      <c r="BM23" s="1588"/>
      <c r="BN23" s="1592">
        <v>10.3</v>
      </c>
      <c r="BO23" s="1593"/>
      <c r="BP23" s="1588"/>
      <c r="BQ23" s="1592">
        <v>10.3</v>
      </c>
      <c r="BR23" s="1593"/>
      <c r="BS23" s="1588"/>
      <c r="BT23" s="1592">
        <v>10.3</v>
      </c>
      <c r="BU23" s="1593"/>
      <c r="BV23" s="1588"/>
      <c r="BW23" s="1592">
        <v>10.3</v>
      </c>
      <c r="BX23" s="1593"/>
      <c r="BY23" s="1588"/>
      <c r="BZ23" s="1592">
        <v>10.3</v>
      </c>
      <c r="CA23" s="1593"/>
    </row>
    <row r="24" spans="1:256" ht="13.5" thickBot="1" x14ac:dyDescent="0.25">
      <c r="A24" s="1607"/>
      <c r="B24" s="470"/>
      <c r="C24" s="1616"/>
      <c r="D24" s="1617" t="s">
        <v>83</v>
      </c>
      <c r="E24" s="1618"/>
      <c r="F24" s="1618"/>
      <c r="G24" s="1619"/>
      <c r="H24" s="1620"/>
      <c r="I24" s="1621"/>
      <c r="J24" s="1622"/>
      <c r="K24" s="1620"/>
      <c r="L24" s="1621"/>
      <c r="M24" s="1622"/>
      <c r="N24" s="1620"/>
      <c r="O24" s="1621"/>
      <c r="P24" s="1622"/>
      <c r="Q24" s="1620"/>
      <c r="R24" s="1621"/>
      <c r="S24" s="1622"/>
      <c r="T24" s="1620"/>
      <c r="U24" s="1621"/>
      <c r="V24" s="1622"/>
      <c r="W24" s="1620"/>
      <c r="X24" s="1621"/>
      <c r="Y24" s="1622"/>
      <c r="Z24" s="1620"/>
      <c r="AA24" s="1621"/>
      <c r="AB24" s="1622"/>
      <c r="AC24" s="1620"/>
      <c r="AD24" s="1621"/>
      <c r="AE24" s="1622"/>
      <c r="AF24" s="1620"/>
      <c r="AG24" s="1621"/>
      <c r="AH24" s="1622"/>
      <c r="AI24" s="1620"/>
      <c r="AJ24" s="1621"/>
      <c r="AK24" s="1622"/>
      <c r="AL24" s="1620"/>
      <c r="AM24" s="1621"/>
      <c r="AN24" s="1622"/>
      <c r="AO24" s="1620"/>
      <c r="AP24" s="1621"/>
      <c r="AQ24" s="1622"/>
      <c r="AR24" s="1620"/>
      <c r="AS24" s="1621"/>
      <c r="AT24" s="1622"/>
      <c r="AU24" s="1620"/>
      <c r="AV24" s="1621"/>
      <c r="AW24" s="1622"/>
      <c r="AX24" s="1620"/>
      <c r="AY24" s="1621"/>
      <c r="AZ24" s="1622"/>
      <c r="BA24" s="1620"/>
      <c r="BB24" s="1621"/>
      <c r="BC24" s="1622"/>
      <c r="BD24" s="1620"/>
      <c r="BE24" s="1621"/>
      <c r="BF24" s="1622"/>
      <c r="BG24" s="1620"/>
      <c r="BH24" s="1621"/>
      <c r="BI24" s="1622"/>
      <c r="BJ24" s="1620"/>
      <c r="BK24" s="1621"/>
      <c r="BL24" s="1622"/>
      <c r="BM24" s="1620"/>
      <c r="BN24" s="1621"/>
      <c r="BO24" s="1622"/>
      <c r="BP24" s="1620"/>
      <c r="BQ24" s="1621"/>
      <c r="BR24" s="1622"/>
      <c r="BS24" s="1620"/>
      <c r="BT24" s="1621"/>
      <c r="BU24" s="1622"/>
      <c r="BV24" s="1620"/>
      <c r="BW24" s="1621"/>
      <c r="BX24" s="1622"/>
      <c r="BY24" s="1620"/>
      <c r="BZ24" s="1621"/>
      <c r="CA24" s="1622"/>
    </row>
    <row r="25" spans="1:256" x14ac:dyDescent="0.2">
      <c r="A25" s="1608"/>
      <c r="B25" s="1623"/>
      <c r="C25" s="1623"/>
      <c r="D25" s="1608"/>
      <c r="E25" s="1623"/>
      <c r="F25" s="1624" t="s">
        <v>33</v>
      </c>
      <c r="G25" s="1609"/>
      <c r="H25" s="1551">
        <f t="shared" ref="H25:BS27" si="2">H9+H17</f>
        <v>42.492739294793061</v>
      </c>
      <c r="I25" s="1552">
        <f>I9+I17</f>
        <v>8.5470000000000006</v>
      </c>
      <c r="J25" s="1553">
        <f t="shared" si="2"/>
        <v>0.93059999999999987</v>
      </c>
      <c r="K25" s="1551">
        <f t="shared" si="2"/>
        <v>42.225583494502935</v>
      </c>
      <c r="L25" s="1552">
        <f t="shared" si="2"/>
        <v>8.4941999999999993</v>
      </c>
      <c r="M25" s="1553">
        <f t="shared" si="2"/>
        <v>0.91739999999999999</v>
      </c>
      <c r="N25" s="1551">
        <f t="shared" si="2"/>
        <v>42.394317145008209</v>
      </c>
      <c r="O25" s="1552">
        <f t="shared" si="2"/>
        <v>8.5272000000000006</v>
      </c>
      <c r="P25" s="1553">
        <f t="shared" si="2"/>
        <v>0.93060000000000009</v>
      </c>
      <c r="Q25" s="1551">
        <f t="shared" si="2"/>
        <v>42.234379879698935</v>
      </c>
      <c r="R25" s="1552">
        <f t="shared" si="2"/>
        <v>8.4942000000000011</v>
      </c>
      <c r="S25" s="1553">
        <f t="shared" si="2"/>
        <v>0.93059999999999998</v>
      </c>
      <c r="T25" s="1551">
        <f t="shared" si="2"/>
        <v>42.758268557335498</v>
      </c>
      <c r="U25" s="1552">
        <f t="shared" si="2"/>
        <v>8.5998000000000001</v>
      </c>
      <c r="V25" s="1553">
        <f t="shared" si="2"/>
        <v>0.94379999999999997</v>
      </c>
      <c r="W25" s="1551">
        <f t="shared" si="2"/>
        <v>42.935655145629141</v>
      </c>
      <c r="X25" s="1552">
        <f t="shared" si="2"/>
        <v>8.6394000000000002</v>
      </c>
      <c r="Y25" s="1553">
        <f t="shared" si="2"/>
        <v>0.91079999999999994</v>
      </c>
      <c r="Z25" s="1551">
        <f t="shared" si="2"/>
        <v>43.189823564699182</v>
      </c>
      <c r="AA25" s="1552">
        <f t="shared" si="2"/>
        <v>8.6921999999999997</v>
      </c>
      <c r="AB25" s="1553">
        <f t="shared" si="2"/>
        <v>0.89759999999999995</v>
      </c>
      <c r="AC25" s="1551">
        <f t="shared" si="2"/>
        <v>43.138339177193529</v>
      </c>
      <c r="AD25" s="1552">
        <f t="shared" si="2"/>
        <v>8.6856000000000009</v>
      </c>
      <c r="AE25" s="1553">
        <f t="shared" si="2"/>
        <v>0.85139999999999993</v>
      </c>
      <c r="AF25" s="1551">
        <f t="shared" si="2"/>
        <v>43.213880547601114</v>
      </c>
      <c r="AG25" s="1552">
        <f t="shared" si="2"/>
        <v>8.6988000000000003</v>
      </c>
      <c r="AH25" s="1553">
        <f t="shared" si="2"/>
        <v>0.87119999999999997</v>
      </c>
      <c r="AI25" s="1551">
        <f t="shared" si="2"/>
        <v>43.150977110227288</v>
      </c>
      <c r="AJ25" s="1552">
        <f t="shared" si="2"/>
        <v>8.6855999999999991</v>
      </c>
      <c r="AK25" s="1553">
        <f t="shared" si="2"/>
        <v>0.87119999999999997</v>
      </c>
      <c r="AL25" s="1551">
        <f t="shared" si="2"/>
        <v>43.04919395518715</v>
      </c>
      <c r="AM25" s="1552">
        <f t="shared" si="2"/>
        <v>8.6658000000000008</v>
      </c>
      <c r="AN25" s="1553">
        <f t="shared" si="2"/>
        <v>0.86460000000000004</v>
      </c>
      <c r="AO25" s="1551">
        <f t="shared" si="2"/>
        <v>43.074154477411092</v>
      </c>
      <c r="AP25" s="1552">
        <f t="shared" si="2"/>
        <v>8.6724000000000014</v>
      </c>
      <c r="AQ25" s="1553">
        <f t="shared" si="2"/>
        <v>0.8448</v>
      </c>
      <c r="AR25" s="1551">
        <f t="shared" si="2"/>
        <v>43.032571849166395</v>
      </c>
      <c r="AS25" s="1552">
        <f t="shared" si="2"/>
        <v>8.6658000000000008</v>
      </c>
      <c r="AT25" s="1553">
        <f t="shared" si="2"/>
        <v>0.82499999999999996</v>
      </c>
      <c r="AU25" s="1551">
        <f t="shared" si="2"/>
        <v>42.448940576930596</v>
      </c>
      <c r="AV25" s="1552">
        <f t="shared" si="2"/>
        <v>8.5470000000000006</v>
      </c>
      <c r="AW25" s="1553">
        <f t="shared" si="2"/>
        <v>0.82499999999999996</v>
      </c>
      <c r="AX25" s="1551">
        <f t="shared" si="2"/>
        <v>27.995962132618132</v>
      </c>
      <c r="AY25" s="1552">
        <f t="shared" si="2"/>
        <v>5.6562000000000001</v>
      </c>
      <c r="AZ25" s="1553">
        <f t="shared" si="2"/>
        <v>3.9599999999999996E-2</v>
      </c>
      <c r="BA25" s="1551">
        <f t="shared" si="2"/>
        <v>25.334956951787827</v>
      </c>
      <c r="BB25" s="1552">
        <f t="shared" si="2"/>
        <v>5.1150000000000002</v>
      </c>
      <c r="BC25" s="1553">
        <f t="shared" si="2"/>
        <v>-7.2599999999999998E-2</v>
      </c>
      <c r="BD25" s="1551">
        <f t="shared" si="2"/>
        <v>25.958598363704041</v>
      </c>
      <c r="BE25" s="1552">
        <f t="shared" si="2"/>
        <v>5.2404000000000002</v>
      </c>
      <c r="BF25" s="1553">
        <f t="shared" si="2"/>
        <v>-4.6199999999999991E-2</v>
      </c>
      <c r="BG25" s="1551">
        <f t="shared" si="2"/>
        <v>25.565950898119031</v>
      </c>
      <c r="BH25" s="1552">
        <f t="shared" si="2"/>
        <v>5.1612</v>
      </c>
      <c r="BI25" s="1553">
        <f t="shared" si="2"/>
        <v>-5.9400000000000008E-2</v>
      </c>
      <c r="BJ25" s="1551">
        <f t="shared" si="2"/>
        <v>25.857796827263407</v>
      </c>
      <c r="BK25" s="1552">
        <f t="shared" si="2"/>
        <v>5.2206000000000001</v>
      </c>
      <c r="BL25" s="1553">
        <f t="shared" si="2"/>
        <v>-8.5800000000000001E-2</v>
      </c>
      <c r="BM25" s="1551">
        <f t="shared" si="2"/>
        <v>26.220524014701908</v>
      </c>
      <c r="BN25" s="1552">
        <f t="shared" si="2"/>
        <v>5.2932000000000006</v>
      </c>
      <c r="BO25" s="1553">
        <f t="shared" si="2"/>
        <v>-3.9600000000000024E-2</v>
      </c>
      <c r="BP25" s="1551">
        <f t="shared" si="2"/>
        <v>26.355980120012411</v>
      </c>
      <c r="BQ25" s="1552">
        <f t="shared" si="2"/>
        <v>5.3196000000000003</v>
      </c>
      <c r="BR25" s="1553">
        <f t="shared" si="2"/>
        <v>-3.9599999999999996E-2</v>
      </c>
      <c r="BS25" s="1551">
        <f t="shared" si="2"/>
        <v>27.945649233314839</v>
      </c>
      <c r="BT25" s="1552">
        <f t="shared" ref="BT25:CA27" si="3">BT9+BT17</f>
        <v>5.6496000000000004</v>
      </c>
      <c r="BU25" s="1553">
        <f t="shared" si="3"/>
        <v>2.6400000000000007E-2</v>
      </c>
      <c r="BV25" s="1551">
        <f t="shared" si="3"/>
        <v>37.536630250039366</v>
      </c>
      <c r="BW25" s="1552">
        <f t="shared" si="3"/>
        <v>7.5635999999999992</v>
      </c>
      <c r="BX25" s="1553">
        <f t="shared" si="3"/>
        <v>0.68640000000000001</v>
      </c>
      <c r="BY25" s="1551">
        <f t="shared" si="3"/>
        <v>38.427047553818724</v>
      </c>
      <c r="BZ25" s="1552">
        <f t="shared" si="3"/>
        <v>7.7550000000000008</v>
      </c>
      <c r="CA25" s="1553">
        <f t="shared" si="3"/>
        <v>0.46199999999999997</v>
      </c>
    </row>
    <row r="26" spans="1:256" x14ac:dyDescent="0.2">
      <c r="A26" s="1607"/>
      <c r="B26" s="470"/>
      <c r="C26" s="470"/>
      <c r="D26" s="1607"/>
      <c r="E26" s="470"/>
      <c r="F26" s="1612" t="s">
        <v>36</v>
      </c>
      <c r="G26" s="1625"/>
      <c r="H26" s="1561">
        <f t="shared" si="2"/>
        <v>90.89738542003262</v>
      </c>
      <c r="I26" s="1562">
        <f t="shared" si="2"/>
        <v>5.6762999999999995</v>
      </c>
      <c r="J26" s="1563">
        <f t="shared" si="2"/>
        <v>0.72449999999999992</v>
      </c>
      <c r="K26" s="1561">
        <f t="shared" si="2"/>
        <v>90.482617235773361</v>
      </c>
      <c r="L26" s="1562">
        <f t="shared" si="2"/>
        <v>5.6532</v>
      </c>
      <c r="M26" s="1563">
        <f t="shared" si="2"/>
        <v>0.69509999999999994</v>
      </c>
      <c r="N26" s="1561">
        <f t="shared" si="2"/>
        <v>90.740144971656747</v>
      </c>
      <c r="O26" s="1562">
        <f t="shared" si="2"/>
        <v>5.6678999999999995</v>
      </c>
      <c r="P26" s="1563">
        <f t="shared" si="2"/>
        <v>0.70770000000000011</v>
      </c>
      <c r="Q26" s="1561">
        <f t="shared" si="2"/>
        <v>90.995270085988537</v>
      </c>
      <c r="R26" s="1562">
        <f t="shared" si="2"/>
        <v>5.6847000000000003</v>
      </c>
      <c r="S26" s="1563">
        <f t="shared" si="2"/>
        <v>0.69930000000000003</v>
      </c>
      <c r="T26" s="1561">
        <f t="shared" si="2"/>
        <v>91.665588137152156</v>
      </c>
      <c r="U26" s="1562">
        <f t="shared" si="2"/>
        <v>5.7267000000000001</v>
      </c>
      <c r="V26" s="1563">
        <f t="shared" si="2"/>
        <v>0.7056</v>
      </c>
      <c r="W26" s="1561">
        <f t="shared" si="2"/>
        <v>91.93286373207124</v>
      </c>
      <c r="X26" s="1562">
        <f t="shared" si="2"/>
        <v>5.7455999999999996</v>
      </c>
      <c r="Y26" s="1563">
        <f t="shared" si="2"/>
        <v>0.68879999999999997</v>
      </c>
      <c r="Z26" s="1561">
        <f t="shared" si="2"/>
        <v>92.065718871738113</v>
      </c>
      <c r="AA26" s="1562">
        <f t="shared" si="2"/>
        <v>5.7561</v>
      </c>
      <c r="AB26" s="1563">
        <f t="shared" si="2"/>
        <v>0.67200000000000004</v>
      </c>
      <c r="AC26" s="1561">
        <f t="shared" si="2"/>
        <v>92.139983940694137</v>
      </c>
      <c r="AD26" s="1562">
        <f t="shared" si="2"/>
        <v>5.7603</v>
      </c>
      <c r="AE26" s="1563">
        <f t="shared" si="2"/>
        <v>0.67199999999999993</v>
      </c>
      <c r="AF26" s="1561">
        <f t="shared" si="2"/>
        <v>92.532503225402365</v>
      </c>
      <c r="AG26" s="1562">
        <f t="shared" si="2"/>
        <v>5.7813000000000008</v>
      </c>
      <c r="AH26" s="1563">
        <f t="shared" si="2"/>
        <v>0.7056</v>
      </c>
      <c r="AI26" s="1561">
        <f t="shared" si="2"/>
        <v>92.036464431502736</v>
      </c>
      <c r="AJ26" s="1562">
        <f t="shared" si="2"/>
        <v>5.7498000000000005</v>
      </c>
      <c r="AK26" s="1563">
        <f t="shared" si="2"/>
        <v>0.7056</v>
      </c>
      <c r="AL26" s="1561">
        <f t="shared" si="2"/>
        <v>92.210162891210274</v>
      </c>
      <c r="AM26" s="1562">
        <f t="shared" si="2"/>
        <v>5.7623999999999995</v>
      </c>
      <c r="AN26" s="1563">
        <f t="shared" si="2"/>
        <v>0.69300000000000006</v>
      </c>
      <c r="AO26" s="1561">
        <f t="shared" si="2"/>
        <v>92.035624067882225</v>
      </c>
      <c r="AP26" s="1562">
        <f t="shared" si="2"/>
        <v>5.7519</v>
      </c>
      <c r="AQ26" s="1563">
        <f t="shared" si="2"/>
        <v>0.68669999999999998</v>
      </c>
      <c r="AR26" s="1561">
        <f t="shared" si="2"/>
        <v>91.816861083946876</v>
      </c>
      <c r="AS26" s="1562">
        <f t="shared" si="2"/>
        <v>5.7393000000000001</v>
      </c>
      <c r="AT26" s="1563">
        <f t="shared" si="2"/>
        <v>0.67619999999999991</v>
      </c>
      <c r="AU26" s="1561">
        <f t="shared" si="2"/>
        <v>90.32164283757524</v>
      </c>
      <c r="AV26" s="1562">
        <f t="shared" si="2"/>
        <v>5.6469000000000005</v>
      </c>
      <c r="AW26" s="1563">
        <f t="shared" si="2"/>
        <v>0.6573</v>
      </c>
      <c r="AX26" s="1561">
        <f t="shared" si="2"/>
        <v>42.786403653599791</v>
      </c>
      <c r="AY26" s="1562">
        <f t="shared" si="2"/>
        <v>2.6922000000000001</v>
      </c>
      <c r="AZ26" s="1563">
        <f t="shared" si="2"/>
        <v>9.240000000000001E-2</v>
      </c>
      <c r="BA26" s="1561">
        <f t="shared" si="2"/>
        <v>33.864972786771659</v>
      </c>
      <c r="BB26" s="1562">
        <f t="shared" si="2"/>
        <v>2.1315</v>
      </c>
      <c r="BC26" s="1563">
        <f t="shared" si="2"/>
        <v>6.3E-2</v>
      </c>
      <c r="BD26" s="1561">
        <f t="shared" si="2"/>
        <v>34.76936364379069</v>
      </c>
      <c r="BE26" s="1562">
        <f t="shared" si="2"/>
        <v>2.1882000000000001</v>
      </c>
      <c r="BF26" s="1563">
        <f t="shared" si="2"/>
        <v>7.1400000000000005E-2</v>
      </c>
      <c r="BG26" s="1561">
        <f t="shared" si="2"/>
        <v>34.164729611754566</v>
      </c>
      <c r="BH26" s="1562">
        <f t="shared" si="2"/>
        <v>2.1503999999999999</v>
      </c>
      <c r="BI26" s="1563">
        <f t="shared" si="2"/>
        <v>6.3E-2</v>
      </c>
      <c r="BJ26" s="1561">
        <f t="shared" si="2"/>
        <v>34.4617395648485</v>
      </c>
      <c r="BK26" s="1562">
        <f t="shared" si="2"/>
        <v>2.1692999999999998</v>
      </c>
      <c r="BL26" s="1563">
        <f t="shared" si="2"/>
        <v>5.67E-2</v>
      </c>
      <c r="BM26" s="1561">
        <f t="shared" si="2"/>
        <v>35.500273091233048</v>
      </c>
      <c r="BN26" s="1562">
        <f t="shared" si="2"/>
        <v>2.2343999999999999</v>
      </c>
      <c r="BO26" s="1563">
        <f t="shared" si="2"/>
        <v>6.720000000000001E-2</v>
      </c>
      <c r="BP26" s="1561">
        <f t="shared" si="2"/>
        <v>35.738259308070795</v>
      </c>
      <c r="BQ26" s="1562">
        <f t="shared" si="2"/>
        <v>2.2490999999999999</v>
      </c>
      <c r="BR26" s="1563">
        <f t="shared" si="2"/>
        <v>7.5600000000000001E-2</v>
      </c>
      <c r="BS26" s="1561">
        <f t="shared" si="2"/>
        <v>41.842281151202656</v>
      </c>
      <c r="BT26" s="1562">
        <f t="shared" si="3"/>
        <v>2.6334</v>
      </c>
      <c r="BU26" s="1563">
        <f t="shared" si="3"/>
        <v>7.7699999999999991E-2</v>
      </c>
      <c r="BV26" s="1561">
        <f t="shared" si="3"/>
        <v>73.085613313560728</v>
      </c>
      <c r="BW26" s="1562">
        <f t="shared" si="3"/>
        <v>4.5674999999999999</v>
      </c>
      <c r="BX26" s="1563">
        <f t="shared" si="3"/>
        <v>0.56069999999999998</v>
      </c>
      <c r="BY26" s="1561">
        <f t="shared" si="3"/>
        <v>76.548209458980139</v>
      </c>
      <c r="BZ26" s="1562">
        <f t="shared" si="3"/>
        <v>4.8006000000000002</v>
      </c>
      <c r="CA26" s="1563">
        <f t="shared" si="3"/>
        <v>0.41370000000000001</v>
      </c>
    </row>
    <row r="27" spans="1:256" ht="13.5" thickBot="1" x14ac:dyDescent="0.25">
      <c r="A27" s="1607"/>
      <c r="B27" s="470"/>
      <c r="C27" s="470"/>
      <c r="D27" s="1607"/>
      <c r="E27" s="470"/>
      <c r="F27" s="1614" t="s">
        <v>34</v>
      </c>
      <c r="G27" s="1611"/>
      <c r="H27" s="1566">
        <f t="shared" si="2"/>
        <v>159.64113304196928</v>
      </c>
      <c r="I27" s="1567">
        <f t="shared" si="2"/>
        <v>2.8439999999999999</v>
      </c>
      <c r="J27" s="1568">
        <f t="shared" si="2"/>
        <v>4.0500000000000001E-2</v>
      </c>
      <c r="K27" s="1566">
        <f t="shared" si="2"/>
        <v>157.54021472173545</v>
      </c>
      <c r="L27" s="1567">
        <f t="shared" si="2"/>
        <v>2.8064999999999998</v>
      </c>
      <c r="M27" s="1568">
        <f t="shared" si="2"/>
        <v>4.2000000000000003E-2</v>
      </c>
      <c r="N27" s="1566">
        <f t="shared" si="2"/>
        <v>158.97330649785494</v>
      </c>
      <c r="O27" s="1567">
        <f t="shared" si="2"/>
        <v>2.8319999999999999</v>
      </c>
      <c r="P27" s="1568">
        <f t="shared" si="2"/>
        <v>4.3499999999999997E-2</v>
      </c>
      <c r="Q27" s="1566">
        <f t="shared" si="2"/>
        <v>156.19983759380017</v>
      </c>
      <c r="R27" s="1567">
        <f t="shared" si="2"/>
        <v>2.7825000000000002</v>
      </c>
      <c r="S27" s="1568">
        <f t="shared" si="2"/>
        <v>4.4999999999999998E-2</v>
      </c>
      <c r="T27" s="1566">
        <f t="shared" si="2"/>
        <v>159.56477047477154</v>
      </c>
      <c r="U27" s="1567">
        <f t="shared" si="2"/>
        <v>2.8425000000000002</v>
      </c>
      <c r="V27" s="1568">
        <f t="shared" si="2"/>
        <v>4.4999999999999998E-2</v>
      </c>
      <c r="W27" s="1566">
        <f t="shared" si="2"/>
        <v>160.65379396161256</v>
      </c>
      <c r="X27" s="1567">
        <f t="shared" si="2"/>
        <v>2.8620000000000001</v>
      </c>
      <c r="Y27" s="1568">
        <f t="shared" si="2"/>
        <v>4.2000000000000003E-2</v>
      </c>
      <c r="Z27" s="1566">
        <f t="shared" si="2"/>
        <v>163.4207728771471</v>
      </c>
      <c r="AA27" s="1567">
        <f t="shared" si="2"/>
        <v>2.9115000000000002</v>
      </c>
      <c r="AB27" s="1568">
        <f t="shared" si="2"/>
        <v>3.5999999999999997E-2</v>
      </c>
      <c r="AC27" s="1566">
        <f t="shared" si="2"/>
        <v>162.7335012208448</v>
      </c>
      <c r="AD27" s="1567">
        <f t="shared" si="2"/>
        <v>2.8995000000000002</v>
      </c>
      <c r="AE27" s="1568">
        <f t="shared" si="2"/>
        <v>2.5499999999999998E-2</v>
      </c>
      <c r="AF27" s="1566">
        <f t="shared" si="2"/>
        <v>161.88842283597523</v>
      </c>
      <c r="AG27" s="1567">
        <f t="shared" si="2"/>
        <v>2.8845000000000001</v>
      </c>
      <c r="AH27" s="1568">
        <f t="shared" si="2"/>
        <v>2.2499999999999999E-2</v>
      </c>
      <c r="AI27" s="1566">
        <f t="shared" si="2"/>
        <v>163.23969838142605</v>
      </c>
      <c r="AJ27" s="1567">
        <f t="shared" si="2"/>
        <v>2.9085000000000001</v>
      </c>
      <c r="AK27" s="1568">
        <f t="shared" si="2"/>
        <v>2.7E-2</v>
      </c>
      <c r="AL27" s="1566">
        <f t="shared" si="2"/>
        <v>161.7263297382051</v>
      </c>
      <c r="AM27" s="1567">
        <f t="shared" si="2"/>
        <v>2.8815</v>
      </c>
      <c r="AN27" s="1568">
        <f t="shared" si="2"/>
        <v>2.8500000000000001E-2</v>
      </c>
      <c r="AO27" s="1566">
        <f t="shared" si="2"/>
        <v>162.31219931948652</v>
      </c>
      <c r="AP27" s="1567">
        <f t="shared" si="2"/>
        <v>2.8920000000000003</v>
      </c>
      <c r="AQ27" s="1568">
        <f t="shared" si="2"/>
        <v>2.5499999999999998E-2</v>
      </c>
      <c r="AR27" s="1566">
        <f t="shared" si="2"/>
        <v>162.89849732641679</v>
      </c>
      <c r="AS27" s="1567">
        <f t="shared" si="2"/>
        <v>2.9024999999999999</v>
      </c>
      <c r="AT27" s="1568">
        <f t="shared" si="2"/>
        <v>2.2499999999999999E-2</v>
      </c>
      <c r="AU27" s="1566">
        <f t="shared" si="2"/>
        <v>160.8954104640699</v>
      </c>
      <c r="AV27" s="1567">
        <f t="shared" si="2"/>
        <v>2.8665000000000003</v>
      </c>
      <c r="AW27" s="1568">
        <f t="shared" si="2"/>
        <v>3.5999999999999997E-2</v>
      </c>
      <c r="AX27" s="1566">
        <f t="shared" si="2"/>
        <v>164.0090501245316</v>
      </c>
      <c r="AY27" s="1567">
        <f t="shared" si="2"/>
        <v>2.9219999999999997</v>
      </c>
      <c r="AZ27" s="1568">
        <f t="shared" si="2"/>
        <v>3.5999999999999997E-2</v>
      </c>
      <c r="BA27" s="1566">
        <f t="shared" si="2"/>
        <v>165.86077129340555</v>
      </c>
      <c r="BB27" s="1567">
        <f t="shared" si="2"/>
        <v>2.9550000000000001</v>
      </c>
      <c r="BC27" s="1568">
        <f t="shared" si="2"/>
        <v>3.5999999999999997E-2</v>
      </c>
      <c r="BD27" s="1566">
        <f t="shared" si="2"/>
        <v>169.39172281544259</v>
      </c>
      <c r="BE27" s="1567">
        <f t="shared" si="2"/>
        <v>3.0179999999999998</v>
      </c>
      <c r="BF27" s="1568">
        <f t="shared" si="2"/>
        <v>3.3000000000000002E-2</v>
      </c>
      <c r="BG27" s="1566">
        <f t="shared" si="2"/>
        <v>166.52987255776947</v>
      </c>
      <c r="BH27" s="1567">
        <f t="shared" si="2"/>
        <v>2.9669999999999996</v>
      </c>
      <c r="BI27" s="1568">
        <f t="shared" si="2"/>
        <v>3.3000000000000002E-2</v>
      </c>
      <c r="BJ27" s="1566">
        <f t="shared" si="2"/>
        <v>169.3982077697475</v>
      </c>
      <c r="BK27" s="1567">
        <f t="shared" si="2"/>
        <v>3.0179999999999998</v>
      </c>
      <c r="BL27" s="1568">
        <f t="shared" si="2"/>
        <v>3.7499999999999999E-2</v>
      </c>
      <c r="BM27" s="1566">
        <f t="shared" si="2"/>
        <v>169.56641457063432</v>
      </c>
      <c r="BN27" s="1567">
        <f t="shared" si="2"/>
        <v>3.0209999999999999</v>
      </c>
      <c r="BO27" s="1568">
        <f t="shared" si="2"/>
        <v>3.7499999999999999E-2</v>
      </c>
      <c r="BP27" s="1566">
        <f t="shared" si="2"/>
        <v>170.41032393617991</v>
      </c>
      <c r="BQ27" s="1567">
        <f t="shared" si="2"/>
        <v>3.0359999999999996</v>
      </c>
      <c r="BR27" s="1568">
        <f t="shared" si="2"/>
        <v>3.9E-2</v>
      </c>
      <c r="BS27" s="1566">
        <f t="shared" si="2"/>
        <v>167.28976928056807</v>
      </c>
      <c r="BT27" s="1567">
        <f t="shared" si="3"/>
        <v>2.9805000000000001</v>
      </c>
      <c r="BU27" s="1568">
        <f t="shared" si="3"/>
        <v>3.4500000000000003E-2</v>
      </c>
      <c r="BV27" s="1566">
        <f t="shared" si="3"/>
        <v>166.45985390227369</v>
      </c>
      <c r="BW27" s="1567">
        <f t="shared" si="3"/>
        <v>2.9655</v>
      </c>
      <c r="BX27" s="1568">
        <f t="shared" si="3"/>
        <v>4.2000000000000003E-2</v>
      </c>
      <c r="BY27" s="1566">
        <f t="shared" si="3"/>
        <v>164.26709451463694</v>
      </c>
      <c r="BZ27" s="1567">
        <f t="shared" si="3"/>
        <v>2.9264999999999999</v>
      </c>
      <c r="CA27" s="1568">
        <f t="shared" si="3"/>
        <v>3.9E-2</v>
      </c>
    </row>
    <row r="28" spans="1:256" x14ac:dyDescent="0.2">
      <c r="A28" s="1626"/>
      <c r="B28" s="1623"/>
      <c r="C28" s="1627"/>
      <c r="D28" s="1626"/>
      <c r="E28" s="2421"/>
      <c r="F28" s="2421"/>
      <c r="G28" s="1628"/>
      <c r="H28" s="1629"/>
      <c r="I28" s="1623"/>
      <c r="J28" s="1623"/>
      <c r="K28" s="1630"/>
      <c r="L28" s="1623"/>
      <c r="M28" s="1623"/>
      <c r="N28" s="1623"/>
      <c r="O28" s="1623"/>
      <c r="P28" s="1623"/>
      <c r="Q28" s="1630"/>
      <c r="R28" s="1623"/>
      <c r="S28" s="1623"/>
      <c r="T28" s="1630"/>
      <c r="U28" s="1623"/>
      <c r="V28" s="1623"/>
      <c r="W28" s="1630"/>
      <c r="X28" s="1623"/>
      <c r="Y28" s="1623"/>
      <c r="Z28" s="1630"/>
      <c r="AA28" s="1623"/>
      <c r="AB28" s="1623"/>
      <c r="AC28" s="1630"/>
      <c r="AD28" s="1623"/>
      <c r="AE28" s="1623"/>
      <c r="AF28" s="1630"/>
      <c r="AG28" s="1623"/>
      <c r="AH28" s="1623"/>
      <c r="AI28" s="1630"/>
      <c r="AJ28" s="1623"/>
      <c r="AK28" s="1623"/>
      <c r="AL28" s="1630"/>
      <c r="AM28" s="1623"/>
      <c r="AN28" s="1623"/>
      <c r="AO28" s="1630"/>
      <c r="AP28" s="1623"/>
      <c r="AQ28" s="1623"/>
      <c r="AR28" s="1630"/>
      <c r="AS28" s="1623"/>
      <c r="AT28" s="1623"/>
      <c r="AU28" s="1630"/>
      <c r="AV28" s="1623"/>
      <c r="AW28" s="1623"/>
      <c r="AX28" s="1630"/>
      <c r="AY28" s="1623"/>
      <c r="AZ28" s="1623"/>
      <c r="BA28" s="1630"/>
      <c r="BB28" s="1623"/>
      <c r="BC28" s="1623"/>
      <c r="BD28" s="1630"/>
      <c r="BE28" s="1623"/>
      <c r="BF28" s="1623"/>
      <c r="BG28" s="1630"/>
      <c r="BH28" s="1623"/>
      <c r="BI28" s="1623"/>
      <c r="BJ28" s="1630"/>
      <c r="BK28" s="1623"/>
      <c r="BL28" s="1623"/>
      <c r="BM28" s="1630"/>
      <c r="BN28" s="1623"/>
      <c r="BO28" s="1623"/>
      <c r="BP28" s="1630"/>
      <c r="BQ28" s="1623"/>
      <c r="BR28" s="1623"/>
      <c r="BS28" s="1630"/>
      <c r="BT28" s="1623"/>
      <c r="BU28" s="1623"/>
      <c r="BV28" s="1630"/>
      <c r="BW28" s="1623"/>
      <c r="BX28" s="1623"/>
      <c r="BY28" s="1630"/>
      <c r="BZ28" s="1623"/>
      <c r="CA28" s="1623"/>
    </row>
    <row r="29" spans="1:256" x14ac:dyDescent="0.2">
      <c r="A29" s="1631" t="s">
        <v>37</v>
      </c>
      <c r="B29" s="470"/>
      <c r="C29" s="1632">
        <f>(I26+L26+O26+R26)/SQRT((I26+L26+O26+R26)^2+(J26+M26+P26+S26)^2)</f>
        <v>0.99232444996413949</v>
      </c>
      <c r="D29" s="1631" t="s">
        <v>38</v>
      </c>
      <c r="E29" s="2422">
        <f>(J26+M26+P26+S26)/(I26+L26+O26+R26)</f>
        <v>0.12461809091750765</v>
      </c>
      <c r="F29" s="2422"/>
      <c r="G29" s="1611"/>
      <c r="H29" s="470"/>
      <c r="I29" s="470"/>
      <c r="J29" s="470"/>
      <c r="K29" s="470"/>
      <c r="L29" s="470"/>
      <c r="M29" s="470"/>
      <c r="N29" s="470"/>
      <c r="O29" s="470"/>
      <c r="P29" s="470"/>
      <c r="Q29" s="470"/>
      <c r="R29" s="470"/>
      <c r="S29" s="470"/>
      <c r="T29" s="470"/>
      <c r="U29" s="470"/>
      <c r="V29" s="470"/>
      <c r="W29" s="470"/>
      <c r="X29" s="470"/>
      <c r="Y29" s="470"/>
      <c r="Z29" s="470"/>
      <c r="AA29" s="470"/>
      <c r="AB29" s="470"/>
      <c r="AC29" s="470"/>
      <c r="AD29" s="470"/>
      <c r="AE29" s="470"/>
      <c r="AF29" s="470"/>
      <c r="AG29" s="470"/>
      <c r="AH29" s="470"/>
      <c r="AI29" s="470"/>
      <c r="AJ29" s="470"/>
      <c r="AK29" s="470"/>
      <c r="AL29" s="470"/>
      <c r="AM29" s="470"/>
      <c r="AN29" s="470"/>
      <c r="AO29" s="470"/>
      <c r="AP29" s="470"/>
      <c r="AQ29" s="470"/>
      <c r="AR29" s="470"/>
      <c r="AS29" s="470"/>
      <c r="AT29" s="470"/>
      <c r="AU29" s="470"/>
      <c r="AV29" s="470"/>
      <c r="AW29" s="470"/>
      <c r="AX29" s="470"/>
      <c r="AY29" s="470"/>
      <c r="AZ29" s="470"/>
      <c r="BA29" s="470"/>
      <c r="BB29" s="470"/>
      <c r="BC29" s="470"/>
      <c r="BD29" s="470"/>
      <c r="BE29" s="470"/>
      <c r="BF29" s="470"/>
      <c r="BG29" s="470"/>
      <c r="BH29" s="470"/>
      <c r="BI29" s="470"/>
      <c r="BJ29" s="470"/>
      <c r="BK29" s="470"/>
      <c r="BL29" s="470"/>
      <c r="BM29" s="470"/>
      <c r="BN29" s="470"/>
      <c r="BO29" s="470"/>
      <c r="BP29" s="470"/>
      <c r="BQ29" s="470"/>
      <c r="BR29" s="470"/>
      <c r="BS29" s="470"/>
      <c r="BT29" s="470"/>
      <c r="BU29" s="470"/>
      <c r="BV29" s="470"/>
      <c r="BW29" s="470"/>
      <c r="BX29" s="470"/>
      <c r="BY29" s="470"/>
      <c r="BZ29" s="470"/>
      <c r="CA29" s="470"/>
    </row>
    <row r="30" spans="1:256" ht="13.5" thickBot="1" x14ac:dyDescent="0.25">
      <c r="A30" s="1633" t="s">
        <v>47</v>
      </c>
      <c r="B30" s="1634"/>
      <c r="C30" s="1635">
        <f>(I27+L27+O27+R27)/SQRT((I27+L27+O27+R27)^2+(J27+M27+P27+S27)^2)</f>
        <v>0.9998848073453992</v>
      </c>
      <c r="D30" s="1633" t="s">
        <v>48</v>
      </c>
      <c r="E30" s="2423">
        <f>(J27+M27+P27+S27)/(I27+L27+O27+R27)</f>
        <v>1.5179760319573903E-2</v>
      </c>
      <c r="F30" s="2423"/>
      <c r="G30" s="1636"/>
      <c r="H30" s="1634"/>
      <c r="I30" s="1634"/>
      <c r="J30" s="1634"/>
      <c r="K30" s="1634"/>
      <c r="L30" s="1634"/>
      <c r="M30" s="1634"/>
      <c r="N30" s="1634"/>
      <c r="O30" s="1634"/>
      <c r="P30" s="1634"/>
      <c r="Q30" s="1634"/>
      <c r="R30" s="1634"/>
      <c r="S30" s="1634"/>
      <c r="T30" s="1634"/>
      <c r="U30" s="1634"/>
      <c r="V30" s="1634"/>
      <c r="W30" s="1634"/>
      <c r="X30" s="1634"/>
      <c r="Y30" s="1634"/>
      <c r="Z30" s="1634"/>
      <c r="AA30" s="1634"/>
      <c r="AB30" s="1634"/>
      <c r="AC30" s="1634"/>
      <c r="AD30" s="1634"/>
      <c r="AE30" s="1634"/>
      <c r="AF30" s="1634"/>
      <c r="AG30" s="1634"/>
      <c r="AH30" s="1634"/>
      <c r="AI30" s="1634"/>
      <c r="AJ30" s="1634"/>
      <c r="AK30" s="1634"/>
      <c r="AL30" s="1634"/>
      <c r="AM30" s="1634"/>
      <c r="AN30" s="1634"/>
      <c r="AO30" s="1634"/>
      <c r="AP30" s="1634"/>
      <c r="AQ30" s="1634"/>
      <c r="AR30" s="1634"/>
      <c r="AS30" s="1634"/>
      <c r="AT30" s="1634"/>
      <c r="AU30" s="1634"/>
      <c r="AV30" s="1634"/>
      <c r="AW30" s="1634"/>
      <c r="AX30" s="1634"/>
      <c r="AY30" s="1634"/>
      <c r="AZ30" s="1634"/>
      <c r="BA30" s="1634"/>
      <c r="BB30" s="1634"/>
      <c r="BC30" s="1634"/>
      <c r="BD30" s="1634"/>
      <c r="BE30" s="1634"/>
      <c r="BF30" s="1634"/>
      <c r="BG30" s="1634"/>
      <c r="BH30" s="1634"/>
      <c r="BI30" s="1634"/>
      <c r="BJ30" s="1634"/>
      <c r="BK30" s="1634"/>
      <c r="BL30" s="1634"/>
      <c r="BM30" s="1634"/>
      <c r="BN30" s="1634"/>
      <c r="BO30" s="1634"/>
      <c r="BP30" s="1634"/>
      <c r="BQ30" s="1634"/>
      <c r="BR30" s="1634"/>
      <c r="BS30" s="1634"/>
      <c r="BT30" s="1634"/>
      <c r="BU30" s="1634"/>
      <c r="BV30" s="1634"/>
      <c r="BW30" s="1634"/>
      <c r="BX30" s="1634"/>
      <c r="BY30" s="1634"/>
      <c r="BZ30" s="1634"/>
      <c r="CA30" s="1634"/>
    </row>
    <row r="31" spans="1:256" x14ac:dyDescent="0.2">
      <c r="A31" s="1637" t="s">
        <v>40</v>
      </c>
      <c r="B31" s="1638"/>
      <c r="C31" s="1638"/>
      <c r="D31" s="469"/>
      <c r="E31" s="1639"/>
      <c r="F31" s="469"/>
      <c r="G31" s="1639"/>
      <c r="H31" s="1640"/>
      <c r="I31" s="469"/>
      <c r="J31" s="469"/>
      <c r="K31" s="1640"/>
      <c r="L31" s="469"/>
      <c r="M31" s="469"/>
      <c r="N31" s="1640"/>
      <c r="O31" s="469"/>
      <c r="P31" s="469"/>
      <c r="Q31" s="1640"/>
      <c r="R31" s="469"/>
      <c r="S31" s="469"/>
      <c r="T31" s="1640"/>
      <c r="U31" s="469"/>
      <c r="V31" s="469"/>
      <c r="W31" s="1640"/>
      <c r="X31" s="469"/>
      <c r="Y31" s="469"/>
      <c r="Z31" s="1640"/>
      <c r="AA31" s="469"/>
      <c r="AB31" s="469"/>
      <c r="AC31" s="1640"/>
      <c r="AD31" s="469"/>
      <c r="AE31" s="469"/>
      <c r="AF31" s="1640"/>
      <c r="AG31" s="469"/>
      <c r="AH31" s="469"/>
      <c r="AI31" s="1640"/>
      <c r="AJ31" s="469"/>
      <c r="AK31" s="469"/>
      <c r="AL31" s="1640"/>
      <c r="AM31" s="469"/>
      <c r="AN31" s="469"/>
      <c r="AO31" s="1640"/>
      <c r="AP31" s="469"/>
      <c r="AQ31" s="469"/>
      <c r="AR31" s="1640"/>
      <c r="AS31" s="469"/>
      <c r="AT31" s="469"/>
      <c r="AU31" s="1640"/>
      <c r="AV31" s="469"/>
      <c r="AW31" s="469"/>
      <c r="AX31" s="1640"/>
      <c r="AY31" s="469"/>
      <c r="AZ31" s="469"/>
      <c r="BA31" s="1640"/>
      <c r="BB31" s="469"/>
      <c r="BC31" s="469"/>
      <c r="BD31" s="1640"/>
      <c r="BE31" s="469"/>
      <c r="BF31" s="469"/>
      <c r="BG31" s="1640"/>
      <c r="BH31" s="469"/>
      <c r="BI31" s="469"/>
      <c r="BJ31" s="1640"/>
      <c r="BK31" s="469"/>
      <c r="BL31" s="469"/>
      <c r="BM31" s="1640"/>
      <c r="BN31" s="469"/>
      <c r="BO31" s="469"/>
      <c r="BP31" s="1640"/>
      <c r="BQ31" s="469"/>
      <c r="BR31" s="469"/>
      <c r="BS31" s="1640"/>
      <c r="BT31" s="469"/>
      <c r="BU31" s="469"/>
      <c r="BV31" s="1640"/>
      <c r="BW31" s="469"/>
      <c r="BX31" s="469"/>
      <c r="BY31" s="1640"/>
      <c r="BZ31" s="469"/>
      <c r="CA31" s="469"/>
    </row>
    <row r="32" spans="1:256" ht="13.5" thickBot="1" x14ac:dyDescent="0.25">
      <c r="A32" s="1607"/>
      <c r="B32" s="1641" t="s">
        <v>380</v>
      </c>
      <c r="C32" s="1642"/>
      <c r="D32" s="469"/>
      <c r="E32" s="1639"/>
      <c r="F32" s="469"/>
      <c r="G32" s="1639"/>
      <c r="H32" s="1640"/>
      <c r="I32" s="469"/>
      <c r="J32" s="469"/>
      <c r="K32" s="1640"/>
      <c r="L32" s="469"/>
      <c r="M32" s="469"/>
      <c r="N32" s="1640"/>
      <c r="O32" s="469"/>
      <c r="P32" s="469"/>
      <c r="Q32" s="1640"/>
      <c r="R32" s="469"/>
      <c r="S32" s="469"/>
      <c r="T32" s="1640"/>
      <c r="U32" s="469"/>
      <c r="V32" s="469"/>
      <c r="W32" s="1640"/>
      <c r="X32" s="469"/>
      <c r="Y32" s="469"/>
      <c r="Z32" s="1640"/>
      <c r="AA32" s="469"/>
      <c r="AB32" s="469"/>
      <c r="AC32" s="1640"/>
      <c r="AD32" s="469"/>
      <c r="AE32" s="469"/>
      <c r="AF32" s="1640"/>
      <c r="AG32" s="469"/>
      <c r="AH32" s="469"/>
      <c r="AI32" s="1640"/>
      <c r="AJ32" s="469"/>
      <c r="AK32" s="469"/>
      <c r="AL32" s="1640"/>
      <c r="AM32" s="469"/>
      <c r="AN32" s="469"/>
      <c r="AO32" s="1640"/>
      <c r="AP32" s="469"/>
      <c r="AQ32" s="469"/>
      <c r="AR32" s="1640"/>
      <c r="AS32" s="469"/>
      <c r="AT32" s="469"/>
      <c r="AU32" s="1640"/>
      <c r="AV32" s="469"/>
      <c r="AW32" s="469"/>
      <c r="AX32" s="1640"/>
      <c r="AY32" s="469"/>
      <c r="AZ32" s="469"/>
      <c r="BA32" s="1640"/>
      <c r="BB32" s="469"/>
      <c r="BC32" s="469"/>
      <c r="BD32" s="1640"/>
      <c r="BE32" s="469"/>
      <c r="BF32" s="469"/>
      <c r="BG32" s="1640"/>
      <c r="BH32" s="469"/>
      <c r="BI32" s="469"/>
      <c r="BJ32" s="1640"/>
      <c r="BK32" s="469"/>
      <c r="BL32" s="469"/>
      <c r="BM32" s="1640"/>
      <c r="BN32" s="469"/>
      <c r="BO32" s="469"/>
      <c r="BP32" s="1640"/>
      <c r="BQ32" s="469"/>
      <c r="BR32" s="469"/>
      <c r="BS32" s="1640"/>
      <c r="BT32" s="469"/>
      <c r="BU32" s="469"/>
      <c r="BV32" s="1640"/>
      <c r="BW32" s="469"/>
      <c r="BX32" s="469"/>
      <c r="BY32" s="1640"/>
      <c r="BZ32" s="469"/>
      <c r="CA32" s="469"/>
    </row>
    <row r="33" spans="1:81" x14ac:dyDescent="0.2">
      <c r="A33" s="1643">
        <v>1</v>
      </c>
      <c r="B33" s="1644" t="s">
        <v>381</v>
      </c>
      <c r="C33" s="1645"/>
      <c r="D33" s="1646"/>
      <c r="E33" s="1647"/>
      <c r="F33" s="1648"/>
      <c r="G33" s="1649"/>
      <c r="H33" s="1650">
        <f>SQRT(I33^2+J33^2)*1000/(1.73*I14)</f>
        <v>0</v>
      </c>
      <c r="I33" s="1552">
        <v>0</v>
      </c>
      <c r="J33" s="1553">
        <v>0</v>
      </c>
      <c r="K33" s="1650">
        <f>SQRT(L33^2+M33^2)*1000/(1.73*L14)</f>
        <v>0</v>
      </c>
      <c r="L33" s="1552">
        <v>0</v>
      </c>
      <c r="M33" s="1553">
        <v>0</v>
      </c>
      <c r="N33" s="1650">
        <f>SQRT(O33^2+P33^2)*1000/(1.73*O14)</f>
        <v>0</v>
      </c>
      <c r="O33" s="1552">
        <v>0</v>
      </c>
      <c r="P33" s="1553">
        <v>0</v>
      </c>
      <c r="Q33" s="1650">
        <f>SQRT(R33^2+S33^2)*1000/(1.73*R14)</f>
        <v>0</v>
      </c>
      <c r="R33" s="1552">
        <v>0</v>
      </c>
      <c r="S33" s="1553">
        <v>0</v>
      </c>
      <c r="T33" s="1650">
        <f>SQRT(U33^2+V33^2)*1000/(1.73*U14)</f>
        <v>0</v>
      </c>
      <c r="U33" s="1552">
        <v>0</v>
      </c>
      <c r="V33" s="1553">
        <v>0</v>
      </c>
      <c r="W33" s="1650">
        <f>SQRT(X33^2+Y33^2)*1000/(1.73*X14)</f>
        <v>0</v>
      </c>
      <c r="X33" s="1552">
        <v>0</v>
      </c>
      <c r="Y33" s="1553">
        <v>0</v>
      </c>
      <c r="Z33" s="1650">
        <f>SQRT(AA33^2+AB33^2)*1000/(1.73*AA14)</f>
        <v>0</v>
      </c>
      <c r="AA33" s="1552">
        <v>0</v>
      </c>
      <c r="AB33" s="1553">
        <v>0</v>
      </c>
      <c r="AC33" s="1650">
        <f>SQRT(AD33^2+AE33^2)*1000/(1.73*AD14)</f>
        <v>0</v>
      </c>
      <c r="AD33" s="1552">
        <v>0</v>
      </c>
      <c r="AE33" s="1553">
        <v>0</v>
      </c>
      <c r="AF33" s="1650">
        <f>SQRT(AG33^2+AH33^2)*1000/(1.73*AG14)</f>
        <v>0</v>
      </c>
      <c r="AG33" s="1552">
        <v>0</v>
      </c>
      <c r="AH33" s="1553">
        <v>0</v>
      </c>
      <c r="AI33" s="1650">
        <f>SQRT(AJ33^2+AK33^2)*1000/(1.73*AJ14)</f>
        <v>0</v>
      </c>
      <c r="AJ33" s="1552">
        <v>0</v>
      </c>
      <c r="AK33" s="1553">
        <v>0</v>
      </c>
      <c r="AL33" s="1650">
        <f>SQRT(AM33^2+AN33^2)*1000/(1.73*AM14)</f>
        <v>0</v>
      </c>
      <c r="AM33" s="1552">
        <v>0</v>
      </c>
      <c r="AN33" s="1553">
        <v>0</v>
      </c>
      <c r="AO33" s="1650">
        <f>SQRT(AP33^2+AQ33^2)*1000/(1.73*AP14)</f>
        <v>0</v>
      </c>
      <c r="AP33" s="1552">
        <v>0</v>
      </c>
      <c r="AQ33" s="1553">
        <v>0</v>
      </c>
      <c r="AR33" s="1650">
        <f>SQRT(AS33^2+AT33^2)*1000/(1.73*AS14)</f>
        <v>0</v>
      </c>
      <c r="AS33" s="1552">
        <v>0</v>
      </c>
      <c r="AT33" s="1553">
        <v>0</v>
      </c>
      <c r="AU33" s="1650">
        <f>SQRT(AV33^2+AW33^2)*1000/(1.73*AV14)</f>
        <v>0</v>
      </c>
      <c r="AV33" s="1552">
        <v>0</v>
      </c>
      <c r="AW33" s="1553">
        <v>0</v>
      </c>
      <c r="AX33" s="1650">
        <f>SQRT(AY33^2+AZ33^2)*1000/(1.73*AY14)</f>
        <v>0</v>
      </c>
      <c r="AY33" s="1552">
        <v>0</v>
      </c>
      <c r="AZ33" s="1553">
        <v>0</v>
      </c>
      <c r="BA33" s="1650">
        <f>SQRT(BB33^2+BC33^2)*1000/(1.73*BB14)</f>
        <v>0</v>
      </c>
      <c r="BB33" s="1552">
        <v>0</v>
      </c>
      <c r="BC33" s="1553">
        <v>0</v>
      </c>
      <c r="BD33" s="1650">
        <f>SQRT(BE33^2+BF33^2)*1000/(1.73*BE14)</f>
        <v>0</v>
      </c>
      <c r="BE33" s="1552">
        <v>0</v>
      </c>
      <c r="BF33" s="1553">
        <v>0</v>
      </c>
      <c r="BG33" s="1650">
        <f>SQRT(BH33^2+BI33^2)*1000/(1.73*BH14)</f>
        <v>0</v>
      </c>
      <c r="BH33" s="1552">
        <v>0</v>
      </c>
      <c r="BI33" s="1553">
        <v>0</v>
      </c>
      <c r="BJ33" s="1650">
        <f>SQRT(BK33^2+BL33^2)*1000/(1.73*BK14)</f>
        <v>0</v>
      </c>
      <c r="BK33" s="1552">
        <v>0</v>
      </c>
      <c r="BL33" s="1553">
        <v>0</v>
      </c>
      <c r="BM33" s="1650">
        <f>SQRT(BN33^2+BO33^2)*1000/(1.73*BN14)</f>
        <v>0</v>
      </c>
      <c r="BN33" s="1552">
        <v>0</v>
      </c>
      <c r="BO33" s="1553">
        <v>0</v>
      </c>
      <c r="BP33" s="1650">
        <f>SQRT(BQ33^2+BR33^2)*1000/(1.73*BQ14)</f>
        <v>0</v>
      </c>
      <c r="BQ33" s="1552">
        <v>0</v>
      </c>
      <c r="BR33" s="1553">
        <v>0</v>
      </c>
      <c r="BS33" s="1650">
        <f>SQRT(BT33^2+BU33^2)*1000/(1.73*BT14)</f>
        <v>0</v>
      </c>
      <c r="BT33" s="1552">
        <v>0</v>
      </c>
      <c r="BU33" s="1553">
        <v>0</v>
      </c>
      <c r="BV33" s="1650">
        <f>SQRT(BW33^2+BX33^2)*1000/(1.73*BW14)</f>
        <v>0</v>
      </c>
      <c r="BW33" s="1552">
        <v>0</v>
      </c>
      <c r="BX33" s="1553">
        <v>0</v>
      </c>
      <c r="BY33" s="1650">
        <f>SQRT(BZ33^2+CA33^2)*1000/(1.73*BZ14)</f>
        <v>0</v>
      </c>
      <c r="BZ33" s="1552">
        <v>0</v>
      </c>
      <c r="CA33" s="1553">
        <v>0</v>
      </c>
    </row>
    <row r="34" spans="1:81" x14ac:dyDescent="0.2">
      <c r="A34" s="1651">
        <v>2</v>
      </c>
      <c r="B34" s="1652" t="s">
        <v>382</v>
      </c>
      <c r="C34" s="1653"/>
      <c r="D34" s="1654"/>
      <c r="E34" s="1655"/>
      <c r="F34" s="1656"/>
      <c r="G34" s="1657"/>
      <c r="H34" s="1658">
        <f>SQRT(I34^2+J34^2)*1000/(1.73*I22)</f>
        <v>0</v>
      </c>
      <c r="I34" s="1659">
        <v>0</v>
      </c>
      <c r="J34" s="1660">
        <v>0</v>
      </c>
      <c r="K34" s="1658">
        <f>SQRT(L34^2+M34^2)*1000/(1.73*L22)</f>
        <v>0</v>
      </c>
      <c r="L34" s="1659">
        <v>0</v>
      </c>
      <c r="M34" s="1660">
        <v>0</v>
      </c>
      <c r="N34" s="1658">
        <f>SQRT(O34^2+P34^2)*1000/(1.73*O22)</f>
        <v>0</v>
      </c>
      <c r="O34" s="1659">
        <v>0</v>
      </c>
      <c r="P34" s="1660">
        <v>0</v>
      </c>
      <c r="Q34" s="1658">
        <f>SQRT(R34^2+S34^2)*1000/(1.73*R22)</f>
        <v>0</v>
      </c>
      <c r="R34" s="1659">
        <v>0</v>
      </c>
      <c r="S34" s="1660">
        <v>0</v>
      </c>
      <c r="T34" s="1658">
        <f>SQRT(U34^2+V34^2)*1000/(1.73*U22)</f>
        <v>0</v>
      </c>
      <c r="U34" s="1659">
        <v>0</v>
      </c>
      <c r="V34" s="1660">
        <v>0</v>
      </c>
      <c r="W34" s="1658">
        <f>SQRT(X34^2+Y34^2)*1000/(1.73*X22)</f>
        <v>0</v>
      </c>
      <c r="X34" s="1659">
        <v>0</v>
      </c>
      <c r="Y34" s="1660">
        <v>0</v>
      </c>
      <c r="Z34" s="1658">
        <f>SQRT(AA34^2+AB34^2)*1000/(1.73*AA22)</f>
        <v>0</v>
      </c>
      <c r="AA34" s="1659">
        <v>0</v>
      </c>
      <c r="AB34" s="1660">
        <v>0</v>
      </c>
      <c r="AC34" s="1658">
        <f>SQRT(AD34^2+AE34^2)*1000/(1.73*AD22)</f>
        <v>0</v>
      </c>
      <c r="AD34" s="1659">
        <v>0</v>
      </c>
      <c r="AE34" s="1660">
        <v>0</v>
      </c>
      <c r="AF34" s="1658">
        <f>SQRT(AG34^2+AH34^2)*1000/(1.73*AG22)</f>
        <v>0</v>
      </c>
      <c r="AG34" s="1659">
        <v>0</v>
      </c>
      <c r="AH34" s="1660">
        <v>0</v>
      </c>
      <c r="AI34" s="1658">
        <f>SQRT(AJ34^2+AK34^2)*1000/(1.73*AJ22)</f>
        <v>0</v>
      </c>
      <c r="AJ34" s="1659">
        <v>0</v>
      </c>
      <c r="AK34" s="1660">
        <v>0</v>
      </c>
      <c r="AL34" s="1658">
        <f>SQRT(AM34^2+AN34^2)*1000/(1.73*AM22)</f>
        <v>0</v>
      </c>
      <c r="AM34" s="1659">
        <v>0</v>
      </c>
      <c r="AN34" s="1660">
        <v>0</v>
      </c>
      <c r="AO34" s="1658">
        <f>SQRT(AP34^2+AQ34^2)*1000/(1.73*AP22)</f>
        <v>0</v>
      </c>
      <c r="AP34" s="1659">
        <v>0</v>
      </c>
      <c r="AQ34" s="1660">
        <v>0</v>
      </c>
      <c r="AR34" s="1658">
        <f>SQRT(AS34^2+AT34^2)*1000/(1.73*AS22)</f>
        <v>0</v>
      </c>
      <c r="AS34" s="1659">
        <v>0</v>
      </c>
      <c r="AT34" s="1660">
        <v>0</v>
      </c>
      <c r="AU34" s="1658">
        <f>SQRT(AV34^2+AW34^2)*1000/(1.73*AV22)</f>
        <v>0</v>
      </c>
      <c r="AV34" s="1659">
        <v>0</v>
      </c>
      <c r="AW34" s="1660">
        <v>0</v>
      </c>
      <c r="AX34" s="1658">
        <f>SQRT(AY34^2+AZ34^2)*1000/(1.73*AY22)</f>
        <v>0</v>
      </c>
      <c r="AY34" s="1659">
        <v>0</v>
      </c>
      <c r="AZ34" s="1660">
        <v>0</v>
      </c>
      <c r="BA34" s="1658">
        <f>SQRT(BB34^2+BC34^2)*1000/(1.73*BB22)</f>
        <v>0</v>
      </c>
      <c r="BB34" s="1659">
        <v>0</v>
      </c>
      <c r="BC34" s="1660">
        <v>0</v>
      </c>
      <c r="BD34" s="1658">
        <f>SQRT(BE34^2+BF34^2)*1000/(1.73*BE22)</f>
        <v>0</v>
      </c>
      <c r="BE34" s="1659">
        <v>0</v>
      </c>
      <c r="BF34" s="1660">
        <v>0</v>
      </c>
      <c r="BG34" s="1658">
        <f>SQRT(BH34^2+BI34^2)*1000/(1.73*BH22)</f>
        <v>0</v>
      </c>
      <c r="BH34" s="1659">
        <v>0</v>
      </c>
      <c r="BI34" s="1660">
        <v>0</v>
      </c>
      <c r="BJ34" s="1658">
        <f>SQRT(BK34^2+BL34^2)*1000/(1.73*BK22)</f>
        <v>0</v>
      </c>
      <c r="BK34" s="1659">
        <v>0</v>
      </c>
      <c r="BL34" s="1660">
        <v>0</v>
      </c>
      <c r="BM34" s="1658">
        <f>SQRT(BN34^2+BO34^2)*1000/(1.73*BN22)</f>
        <v>0</v>
      </c>
      <c r="BN34" s="1659">
        <v>0</v>
      </c>
      <c r="BO34" s="1660">
        <v>0</v>
      </c>
      <c r="BP34" s="1658">
        <f>SQRT(BQ34^2+BR34^2)*1000/(1.73*BQ22)</f>
        <v>0</v>
      </c>
      <c r="BQ34" s="1659">
        <v>0</v>
      </c>
      <c r="BR34" s="1660">
        <v>0</v>
      </c>
      <c r="BS34" s="1658">
        <f>SQRT(BT34^2+BU34^2)*1000/(1.73*BT22)</f>
        <v>0</v>
      </c>
      <c r="BT34" s="1659">
        <v>0</v>
      </c>
      <c r="BU34" s="1660">
        <v>0</v>
      </c>
      <c r="BV34" s="1658">
        <f>SQRT(BW34^2+BX34^2)*1000/(1.73*BW22)</f>
        <v>0</v>
      </c>
      <c r="BW34" s="1659">
        <v>0</v>
      </c>
      <c r="BX34" s="1660">
        <v>0</v>
      </c>
      <c r="BY34" s="1658">
        <f>SQRT(BZ34^2+CA34^2)*1000/(1.73*BZ22)</f>
        <v>0</v>
      </c>
      <c r="BZ34" s="1659">
        <v>0</v>
      </c>
      <c r="CA34" s="1660">
        <v>0</v>
      </c>
    </row>
    <row r="35" spans="1:81" x14ac:dyDescent="0.2">
      <c r="A35" s="1651">
        <v>3</v>
      </c>
      <c r="B35" s="1661" t="s">
        <v>383</v>
      </c>
      <c r="C35" s="1653"/>
      <c r="D35" s="1654"/>
      <c r="E35" s="1655"/>
      <c r="F35" s="1656"/>
      <c r="G35" s="1657"/>
      <c r="H35" s="1658">
        <f>SQRT(I35^2+J35^2)*1000/(1.73*I14)</f>
        <v>0</v>
      </c>
      <c r="I35" s="1659">
        <v>0</v>
      </c>
      <c r="J35" s="1660">
        <v>0</v>
      </c>
      <c r="K35" s="1658">
        <f>SQRT(L35^2+M35^2)*1000/(1.73*L14)</f>
        <v>0</v>
      </c>
      <c r="L35" s="1659">
        <v>0</v>
      </c>
      <c r="M35" s="1660">
        <v>0</v>
      </c>
      <c r="N35" s="1658">
        <f>SQRT(O35^2+P35^2)*1000/(1.73*O14)</f>
        <v>0</v>
      </c>
      <c r="O35" s="1659">
        <v>0</v>
      </c>
      <c r="P35" s="1660">
        <v>0</v>
      </c>
      <c r="Q35" s="1658">
        <f>SQRT(R35^2+S35^2)*1000/(1.73*R14)</f>
        <v>0</v>
      </c>
      <c r="R35" s="1659">
        <v>0</v>
      </c>
      <c r="S35" s="1660">
        <v>0</v>
      </c>
      <c r="T35" s="1658">
        <f>SQRT(U35^2+V35^2)*1000/(1.73*U14)</f>
        <v>0</v>
      </c>
      <c r="U35" s="1659">
        <v>0</v>
      </c>
      <c r="V35" s="1660">
        <v>0</v>
      </c>
      <c r="W35" s="1658">
        <f>SQRT(X35^2+Y35^2)*1000/(1.73*X14)</f>
        <v>0</v>
      </c>
      <c r="X35" s="1659">
        <v>0</v>
      </c>
      <c r="Y35" s="1660">
        <v>0</v>
      </c>
      <c r="Z35" s="1658">
        <f>SQRT(AA35^2+AB35^2)*1000/(1.73*AA14)</f>
        <v>0</v>
      </c>
      <c r="AA35" s="1659">
        <v>0</v>
      </c>
      <c r="AB35" s="1660">
        <v>0</v>
      </c>
      <c r="AC35" s="1658">
        <f>SQRT(AD35^2+AE35^2)*1000/(1.73*AD14)</f>
        <v>0</v>
      </c>
      <c r="AD35" s="1659">
        <v>0</v>
      </c>
      <c r="AE35" s="1660">
        <v>0</v>
      </c>
      <c r="AF35" s="1658">
        <f>SQRT(AG35^2+AH35^2)*1000/(1.73*AG14)</f>
        <v>0</v>
      </c>
      <c r="AG35" s="1659">
        <v>0</v>
      </c>
      <c r="AH35" s="1660">
        <v>0</v>
      </c>
      <c r="AI35" s="1658">
        <f>SQRT(AJ35^2+AK35^2)*1000/(1.73*AJ14)</f>
        <v>0</v>
      </c>
      <c r="AJ35" s="1659">
        <v>0</v>
      </c>
      <c r="AK35" s="1660">
        <v>0</v>
      </c>
      <c r="AL35" s="1658">
        <f>SQRT(AM35^2+AN35^2)*1000/(1.73*AM14)</f>
        <v>0</v>
      </c>
      <c r="AM35" s="1659">
        <v>0</v>
      </c>
      <c r="AN35" s="1660">
        <v>0</v>
      </c>
      <c r="AO35" s="1658">
        <f>SQRT(AP35^2+AQ35^2)*1000/(1.73*AP14)</f>
        <v>0</v>
      </c>
      <c r="AP35" s="1659">
        <v>0</v>
      </c>
      <c r="AQ35" s="1660">
        <v>0</v>
      </c>
      <c r="AR35" s="1658">
        <f>SQRT(AS35^2+AT35^2)*1000/(1.73*AS14)</f>
        <v>0</v>
      </c>
      <c r="AS35" s="1659">
        <v>0</v>
      </c>
      <c r="AT35" s="1660">
        <v>0</v>
      </c>
      <c r="AU35" s="1658">
        <f>SQRT(AV35^2+AW35^2)*1000/(1.73*AV14)</f>
        <v>0</v>
      </c>
      <c r="AV35" s="1659">
        <v>0</v>
      </c>
      <c r="AW35" s="1660">
        <v>0</v>
      </c>
      <c r="AX35" s="1658">
        <f>SQRT(AY35^2+AZ35^2)*1000/(1.73*AY14)</f>
        <v>0</v>
      </c>
      <c r="AY35" s="1659">
        <v>0</v>
      </c>
      <c r="AZ35" s="1660">
        <v>0</v>
      </c>
      <c r="BA35" s="1658">
        <f>SQRT(BB35^2+BC35^2)*1000/(1.73*BB14)</f>
        <v>0</v>
      </c>
      <c r="BB35" s="1659">
        <v>0</v>
      </c>
      <c r="BC35" s="1660">
        <v>0</v>
      </c>
      <c r="BD35" s="1658">
        <f>SQRT(BE35^2+BF35^2)*1000/(1.73*BE14)</f>
        <v>0</v>
      </c>
      <c r="BE35" s="1659">
        <v>0</v>
      </c>
      <c r="BF35" s="1660">
        <v>0</v>
      </c>
      <c r="BG35" s="1658">
        <f>SQRT(BH35^2+BI35^2)*1000/(1.73*BH14)</f>
        <v>0</v>
      </c>
      <c r="BH35" s="1659">
        <v>0</v>
      </c>
      <c r="BI35" s="1660">
        <v>0</v>
      </c>
      <c r="BJ35" s="1658">
        <f>SQRT(BK35^2+BL35^2)*1000/(1.73*BK14)</f>
        <v>0</v>
      </c>
      <c r="BK35" s="1659">
        <v>0</v>
      </c>
      <c r="BL35" s="1660">
        <v>0</v>
      </c>
      <c r="BM35" s="1658">
        <f>SQRT(BN35^2+BO35^2)*1000/(1.73*BN14)</f>
        <v>0</v>
      </c>
      <c r="BN35" s="1659">
        <v>0</v>
      </c>
      <c r="BO35" s="1660">
        <v>0</v>
      </c>
      <c r="BP35" s="1658">
        <f>SQRT(BQ35^2+BR35^2)*1000/(1.73*BQ14)</f>
        <v>0</v>
      </c>
      <c r="BQ35" s="1659">
        <v>0</v>
      </c>
      <c r="BR35" s="1660">
        <v>0</v>
      </c>
      <c r="BS35" s="1658">
        <f>SQRT(BT35^2+BU35^2)*1000/(1.73*BT14)</f>
        <v>0</v>
      </c>
      <c r="BT35" s="1659">
        <v>0</v>
      </c>
      <c r="BU35" s="1660">
        <v>0</v>
      </c>
      <c r="BV35" s="1658">
        <f>SQRT(BW35^2+BX35^2)*1000/(1.73*BW14)</f>
        <v>0</v>
      </c>
      <c r="BW35" s="1659">
        <v>0</v>
      </c>
      <c r="BX35" s="1660">
        <v>0</v>
      </c>
      <c r="BY35" s="1658">
        <f>SQRT(BZ35^2+CA35^2)*1000/(1.73*BZ14)</f>
        <v>0</v>
      </c>
      <c r="BZ35" s="1659">
        <v>0</v>
      </c>
      <c r="CA35" s="1660">
        <v>0</v>
      </c>
    </row>
    <row r="36" spans="1:81" x14ac:dyDescent="0.2">
      <c r="A36" s="1612">
        <v>4</v>
      </c>
      <c r="B36" s="1661" t="s">
        <v>384</v>
      </c>
      <c r="C36" s="1653"/>
      <c r="D36" s="1654"/>
      <c r="E36" s="1655"/>
      <c r="F36" s="1656"/>
      <c r="G36" s="1657"/>
      <c r="H36" s="1658">
        <f>SQRT(I36^2+J36^2)*1000/(1.73*I22)</f>
        <v>0</v>
      </c>
      <c r="I36" s="1659">
        <v>0</v>
      </c>
      <c r="J36" s="1660">
        <v>0</v>
      </c>
      <c r="K36" s="1658">
        <f>SQRT(L36^2+M36^2)*1000/(1.73*L22)</f>
        <v>0</v>
      </c>
      <c r="L36" s="1659">
        <v>0</v>
      </c>
      <c r="M36" s="1660">
        <v>0</v>
      </c>
      <c r="N36" s="1658">
        <f>SQRT(O36^2+P36^2)*1000/(1.73*O22)</f>
        <v>0</v>
      </c>
      <c r="O36" s="1659">
        <v>0</v>
      </c>
      <c r="P36" s="1660">
        <v>0</v>
      </c>
      <c r="Q36" s="1658">
        <f>SQRT(R36^2+S36^2)*1000/(1.73*R22)</f>
        <v>0</v>
      </c>
      <c r="R36" s="1659">
        <v>0</v>
      </c>
      <c r="S36" s="1660">
        <v>0</v>
      </c>
      <c r="T36" s="1658">
        <f>SQRT(U36^2+V36^2)*1000/(1.73*U22)</f>
        <v>0</v>
      </c>
      <c r="U36" s="1659">
        <v>0</v>
      </c>
      <c r="V36" s="1660">
        <v>0</v>
      </c>
      <c r="W36" s="1658">
        <f>SQRT(X36^2+Y36^2)*1000/(1.73*X22)</f>
        <v>0</v>
      </c>
      <c r="X36" s="1659">
        <v>0</v>
      </c>
      <c r="Y36" s="1660">
        <v>0</v>
      </c>
      <c r="Z36" s="1658">
        <f>SQRT(AA36^2+AB36^2)*1000/(1.73*AA22)</f>
        <v>0</v>
      </c>
      <c r="AA36" s="1659">
        <v>0</v>
      </c>
      <c r="AB36" s="1660">
        <v>0</v>
      </c>
      <c r="AC36" s="1658">
        <f>SQRT(AD36^2+AE36^2)*1000/(1.73*AD22)</f>
        <v>0</v>
      </c>
      <c r="AD36" s="1659">
        <v>0</v>
      </c>
      <c r="AE36" s="1660">
        <v>0</v>
      </c>
      <c r="AF36" s="1658">
        <f>SQRT(AG36^2+AH36^2)*1000/(1.73*AG22)</f>
        <v>0</v>
      </c>
      <c r="AG36" s="1659">
        <v>0</v>
      </c>
      <c r="AH36" s="1660">
        <v>0</v>
      </c>
      <c r="AI36" s="1658">
        <f>SQRT(AJ36^2+AK36^2)*1000/(1.73*AJ22)</f>
        <v>0</v>
      </c>
      <c r="AJ36" s="1659">
        <v>0</v>
      </c>
      <c r="AK36" s="1660">
        <v>0</v>
      </c>
      <c r="AL36" s="1658">
        <f>SQRT(AM36^2+AN36^2)*1000/(1.73*AM22)</f>
        <v>0</v>
      </c>
      <c r="AM36" s="1659">
        <v>0</v>
      </c>
      <c r="AN36" s="1660">
        <v>0</v>
      </c>
      <c r="AO36" s="1658">
        <f>SQRT(AP36^2+AQ36^2)*1000/(1.73*AP22)</f>
        <v>0</v>
      </c>
      <c r="AP36" s="1659">
        <v>0</v>
      </c>
      <c r="AQ36" s="1660">
        <v>0</v>
      </c>
      <c r="AR36" s="1658">
        <f>SQRT(AS36^2+AT36^2)*1000/(1.73*AS22)</f>
        <v>0</v>
      </c>
      <c r="AS36" s="1659">
        <v>0</v>
      </c>
      <c r="AT36" s="1660">
        <v>0</v>
      </c>
      <c r="AU36" s="1658">
        <f>SQRT(AV36^2+AW36^2)*1000/(1.73*AV22)</f>
        <v>0</v>
      </c>
      <c r="AV36" s="1659">
        <v>0</v>
      </c>
      <c r="AW36" s="1660">
        <v>0</v>
      </c>
      <c r="AX36" s="1658">
        <f>SQRT(AY36^2+AZ36^2)*1000/(1.73*AY22)</f>
        <v>0</v>
      </c>
      <c r="AY36" s="1659">
        <v>0</v>
      </c>
      <c r="AZ36" s="1660">
        <v>0</v>
      </c>
      <c r="BA36" s="1658">
        <f>SQRT(BB36^2+BC36^2)*1000/(1.73*BB22)</f>
        <v>0</v>
      </c>
      <c r="BB36" s="1659">
        <v>0</v>
      </c>
      <c r="BC36" s="1660">
        <v>0</v>
      </c>
      <c r="BD36" s="1658">
        <f>SQRT(BE36^2+BF36^2)*1000/(1.73*BE22)</f>
        <v>0</v>
      </c>
      <c r="BE36" s="1659">
        <v>0</v>
      </c>
      <c r="BF36" s="1660">
        <v>0</v>
      </c>
      <c r="BG36" s="1658">
        <f>SQRT(BH36^2+BI36^2)*1000/(1.73*BH22)</f>
        <v>0</v>
      </c>
      <c r="BH36" s="1659">
        <v>0</v>
      </c>
      <c r="BI36" s="1660">
        <v>0</v>
      </c>
      <c r="BJ36" s="1658">
        <f>SQRT(BK36^2+BL36^2)*1000/(1.73*BK22)</f>
        <v>0</v>
      </c>
      <c r="BK36" s="1659">
        <v>0</v>
      </c>
      <c r="BL36" s="1660">
        <v>0</v>
      </c>
      <c r="BM36" s="1658">
        <f>SQRT(BN36^2+BO36^2)*1000/(1.73*BN22)</f>
        <v>0</v>
      </c>
      <c r="BN36" s="1659">
        <v>0</v>
      </c>
      <c r="BO36" s="1660">
        <v>0</v>
      </c>
      <c r="BP36" s="1658">
        <f>SQRT(BQ36^2+BR36^2)*1000/(1.73*BQ22)</f>
        <v>0</v>
      </c>
      <c r="BQ36" s="1659">
        <v>0</v>
      </c>
      <c r="BR36" s="1660">
        <v>0</v>
      </c>
      <c r="BS36" s="1658">
        <f>SQRT(BT36^2+BU36^2)*1000/(1.73*BT22)</f>
        <v>0</v>
      </c>
      <c r="BT36" s="1659">
        <v>0</v>
      </c>
      <c r="BU36" s="1660">
        <v>0</v>
      </c>
      <c r="BV36" s="1658">
        <f>SQRT(BW36^2+BX36^2)*1000/(1.73*BW22)</f>
        <v>0</v>
      </c>
      <c r="BW36" s="1659">
        <v>0</v>
      </c>
      <c r="BX36" s="1660">
        <v>0</v>
      </c>
      <c r="BY36" s="1658">
        <f>SQRT(BZ36^2+CA36^2)*1000/(1.73*BZ22)</f>
        <v>0</v>
      </c>
      <c r="BZ36" s="1659">
        <v>0</v>
      </c>
      <c r="CA36" s="1660">
        <v>0</v>
      </c>
    </row>
    <row r="37" spans="1:81" x14ac:dyDescent="0.2">
      <c r="A37" s="1612">
        <v>5</v>
      </c>
      <c r="B37" s="1662" t="s">
        <v>385</v>
      </c>
      <c r="C37" s="1653"/>
      <c r="D37" s="1654"/>
      <c r="E37" s="1655"/>
      <c r="F37" s="1656"/>
      <c r="G37" s="1657"/>
      <c r="H37" s="1658">
        <f>SQRT(I37^2+J37^2)*1000/(1.73*I14)</f>
        <v>59.833699356408488</v>
      </c>
      <c r="I37" s="1659">
        <v>3.7296</v>
      </c>
      <c r="J37" s="1660">
        <v>0.53549999999999998</v>
      </c>
      <c r="K37" s="1658">
        <f>SQRT(L37^2+M37^2)*1000/(1.73*L14)</f>
        <v>59.343273261017011</v>
      </c>
      <c r="L37" s="1659">
        <v>3.7002000000000002</v>
      </c>
      <c r="M37" s="1660">
        <v>0.52290000000000003</v>
      </c>
      <c r="N37" s="1658">
        <f>SQRT(O37^2+P37^2)*1000/(1.73*O14)</f>
        <v>59.331449416672591</v>
      </c>
      <c r="O37" s="1659">
        <v>3.6981000000000002</v>
      </c>
      <c r="P37" s="1660">
        <v>0.53234999999999999</v>
      </c>
      <c r="Q37" s="1658">
        <f>SQRT(R37^2+S37^2)*1000/(1.73*R14)</f>
        <v>59.581387588713412</v>
      </c>
      <c r="R37" s="1659">
        <v>3.7138499999999999</v>
      </c>
      <c r="S37" s="1660">
        <v>0.53339999999999999</v>
      </c>
      <c r="T37" s="1658">
        <f>SQRT(U37^2+V37^2)*1000/(1.73*U14)</f>
        <v>60.210982252208154</v>
      </c>
      <c r="U37" s="1659">
        <v>3.7537500000000001</v>
      </c>
      <c r="V37" s="1660">
        <v>0.53444999999999998</v>
      </c>
      <c r="W37" s="1658">
        <f>SQRT(X37^2+Y37^2)*1000/(1.73*X14)</f>
        <v>60.574442338316658</v>
      </c>
      <c r="X37" s="1659">
        <v>3.7778999999999998</v>
      </c>
      <c r="Y37" s="1660">
        <v>0.52710000000000001</v>
      </c>
      <c r="Z37" s="1658">
        <f>SQRT(AA37^2+AB37^2)*1000/(1.73*AA14)</f>
        <v>60.900820726182218</v>
      </c>
      <c r="AA37" s="1659">
        <v>3.7999499999999999</v>
      </c>
      <c r="AB37" s="1660">
        <v>0.51765000000000005</v>
      </c>
      <c r="AC37" s="1658">
        <f>SQRT(AD37^2+AE37^2)*1000/(1.73*AD14)</f>
        <v>61.03003194855139</v>
      </c>
      <c r="AD37" s="1659">
        <v>3.8073000000000001</v>
      </c>
      <c r="AE37" s="1660">
        <v>0.52395000000000003</v>
      </c>
      <c r="AF37" s="1658">
        <f>SQRT(AG37^2+AH37^2)*1000/(1.73*AG14)</f>
        <v>61.642332101041248</v>
      </c>
      <c r="AG37" s="1659">
        <v>3.843</v>
      </c>
      <c r="AH37" s="1660">
        <v>0.54705000000000004</v>
      </c>
      <c r="AI37" s="1658">
        <f>SQRT(AJ37^2+AK37^2)*1000/(1.73*AJ14)</f>
        <v>61.281551285763122</v>
      </c>
      <c r="AJ37" s="1659">
        <v>3.8199000000000001</v>
      </c>
      <c r="AK37" s="1660">
        <v>0.54810000000000003</v>
      </c>
      <c r="AL37" s="1658">
        <f>SQRT(AM37^2+AN37^2)*1000/(1.73*AM14)</f>
        <v>61.463202710007195</v>
      </c>
      <c r="AM37" s="1659">
        <v>3.8325</v>
      </c>
      <c r="AN37" s="1660">
        <v>0.54074999999999995</v>
      </c>
      <c r="AO37" s="1658">
        <f>SQRT(AP37^2+AQ37^2)*1000/(1.73*AP14)</f>
        <v>61.307625787986531</v>
      </c>
      <c r="AP37" s="1659">
        <v>3.8230499999999998</v>
      </c>
      <c r="AQ37" s="1660">
        <v>0.53759999999999997</v>
      </c>
      <c r="AR37" s="1658">
        <f>SQRT(AS37^2+AT37^2)*1000/(1.73*AS14)</f>
        <v>60.987322467371257</v>
      </c>
      <c r="AS37" s="1659">
        <v>3.8041499999999999</v>
      </c>
      <c r="AT37" s="1660">
        <v>0.52710000000000001</v>
      </c>
      <c r="AU37" s="1658">
        <f>SQRT(AV37^2+AW37^2)*1000/(1.73*AV14)</f>
        <v>60.218967707466163</v>
      </c>
      <c r="AV37" s="1659">
        <v>3.7568999999999999</v>
      </c>
      <c r="AW37" s="1660">
        <v>0.51554999999999995</v>
      </c>
      <c r="AX37" s="1658">
        <f>SQRT(AY37^2+AZ37^2)*1000/(1.73*AY14)</f>
        <v>31.629146974503271</v>
      </c>
      <c r="AY37" s="1659">
        <v>1.9897499999999999</v>
      </c>
      <c r="AZ37" s="1660">
        <v>8.9249999999999996E-2</v>
      </c>
      <c r="BA37" s="1658">
        <f>SQRT(BB37^2+BC37^2)*1000/(1.73*BB14)</f>
        <v>30.127856966335873</v>
      </c>
      <c r="BB37" s="1659">
        <v>1.8963000000000001</v>
      </c>
      <c r="BC37" s="1660">
        <v>5.8799999999999998E-2</v>
      </c>
      <c r="BD37" s="1658">
        <f>SQRT(BE37^2+BF37^2)*1000/(1.73*BE14)</f>
        <v>31.216019367882026</v>
      </c>
      <c r="BE37" s="1659">
        <v>1.96455</v>
      </c>
      <c r="BF37" s="1660">
        <v>6.8250000000000005E-2</v>
      </c>
      <c r="BG37" s="1658">
        <f>SQRT(BH37^2+BI37^2)*1000/(1.73*BH14)</f>
        <v>30.861172301615195</v>
      </c>
      <c r="BH37" s="1659">
        <v>1.9424999999999999</v>
      </c>
      <c r="BI37" s="1660">
        <v>5.8799999999999998E-2</v>
      </c>
      <c r="BJ37" s="1658">
        <f>SQRT(BK37^2+BL37^2)*1000/(1.73*BK14)</f>
        <v>30.92497935793941</v>
      </c>
      <c r="BK37" s="1659">
        <v>1.9467000000000001</v>
      </c>
      <c r="BL37" s="1660">
        <v>5.2499999999999998E-2</v>
      </c>
      <c r="BM37" s="1658">
        <f>SQRT(BN37^2+BO37^2)*1000/(1.73*BN14)</f>
        <v>31.896529417652086</v>
      </c>
      <c r="BN37" s="1659">
        <v>2.0076000000000001</v>
      </c>
      <c r="BO37" s="1660">
        <v>6.3E-2</v>
      </c>
      <c r="BP37" s="1658">
        <f>SQRT(BQ37^2+BR37^2)*1000/(1.73*BQ14)</f>
        <v>32.217601202743666</v>
      </c>
      <c r="BQ37" s="1659">
        <v>2.0275500000000002</v>
      </c>
      <c r="BR37" s="1660">
        <v>7.1400000000000005E-2</v>
      </c>
      <c r="BS37" s="1658">
        <f>SQRT(BT37^2+BU37^2)*1000/(1.73*BT14)</f>
        <v>32.102760985359247</v>
      </c>
      <c r="BT37" s="1659">
        <v>2.0202</v>
      </c>
      <c r="BU37" s="1660">
        <v>7.4550000000000005E-2</v>
      </c>
      <c r="BV37" s="1658">
        <f>SQRT(BW37^2+BX37^2)*1000/(1.73*BW14)</f>
        <v>48.67552743955617</v>
      </c>
      <c r="BW37" s="1659">
        <v>3.0387</v>
      </c>
      <c r="BX37" s="1660">
        <v>0.40215000000000001</v>
      </c>
      <c r="BY37" s="1658">
        <f>SQRT(BZ37^2+CA37^2)*1000/(1.73*BZ14)</f>
        <v>50.367044674930447</v>
      </c>
      <c r="BZ37" s="1659">
        <v>3.1541999999999999</v>
      </c>
      <c r="CA37" s="1660">
        <v>0.33284999999999998</v>
      </c>
      <c r="CB37" s="1230">
        <f>SUM(I37,L37,O37,R37,U37,X37,AA37,AD37,AG37,AJ37,AM37,AP37,AS37,AV37,AY37,BB37,BE37,BH37,BK37,BN37,BQ37,BT37,BW37,BZ37)</f>
        <v>74.84820000000002</v>
      </c>
      <c r="CC37" s="1230">
        <f>SUM(J37,M37,P37,S37,V37,Y37,AB37,AE37,AH37,AK37,AN37,AQ37,AT37,AW37,AZ37,BC37,BF37,BI37,BL37,BO37,BR37,BU37,BX37,CA37)</f>
        <v>8.7149999999999999</v>
      </c>
    </row>
    <row r="38" spans="1:81" ht="13.5" thickBot="1" x14ac:dyDescent="0.25">
      <c r="A38" s="1663">
        <v>6</v>
      </c>
      <c r="B38" s="1664" t="s">
        <v>386</v>
      </c>
      <c r="C38" s="1665"/>
      <c r="D38" s="1666"/>
      <c r="E38" s="1667"/>
      <c r="F38" s="1668"/>
      <c r="G38" s="1669"/>
      <c r="H38" s="1670">
        <f>SQRT(I38^2+J38^2)*1000/(1.73*I22)</f>
        <v>31.008696100122119</v>
      </c>
      <c r="I38" s="1567">
        <v>1.9446000000000001</v>
      </c>
      <c r="J38" s="1568">
        <v>0.17745</v>
      </c>
      <c r="K38" s="1670">
        <f>SQRT(L38^2+M38^2)*1000/(1.73*L22)</f>
        <v>31.068679095304372</v>
      </c>
      <c r="L38" s="1567">
        <v>1.9498500000000001</v>
      </c>
      <c r="M38" s="1568">
        <v>0.16064999999999999</v>
      </c>
      <c r="N38" s="1670">
        <f>SQRT(O38^2+P38^2)*1000/(1.73*O22)</f>
        <v>31.306840224402251</v>
      </c>
      <c r="O38" s="1567">
        <v>1.96455</v>
      </c>
      <c r="P38" s="1568">
        <v>0.16485</v>
      </c>
      <c r="Q38" s="1670">
        <f>SQRT(R38^2+S38^2)*1000/(1.73*R22)</f>
        <v>31.377760632089807</v>
      </c>
      <c r="R38" s="1567">
        <v>1.9698</v>
      </c>
      <c r="S38" s="1568">
        <v>0.15540000000000001</v>
      </c>
      <c r="T38" s="1670">
        <f>SQRT(U38^2+V38^2)*1000/(1.73*U22)</f>
        <v>31.363779967724568</v>
      </c>
      <c r="U38" s="1567">
        <v>1.96875</v>
      </c>
      <c r="V38" s="1568">
        <v>0.1575</v>
      </c>
      <c r="W38" s="1670">
        <f>SQRT(X38^2+Y38^2)*1000/(1.73*X22)</f>
        <v>31.306085360688577</v>
      </c>
      <c r="X38" s="1567">
        <v>1.9656</v>
      </c>
      <c r="Y38" s="1568">
        <v>0.1512</v>
      </c>
      <c r="Z38" s="1670">
        <f>SQRT(AA38^2+AB38^2)*1000/(1.73*AA22)</f>
        <v>31.099027274181068</v>
      </c>
      <c r="AA38" s="1567">
        <v>1.9530000000000001</v>
      </c>
      <c r="AB38" s="1568">
        <v>0.1449</v>
      </c>
      <c r="AC38" s="1670">
        <f>SQRT(AD38^2+AE38^2)*1000/(1.73*AD22)</f>
        <v>31.039541828752526</v>
      </c>
      <c r="AD38" s="1567">
        <v>1.9498500000000001</v>
      </c>
      <c r="AE38" s="1568">
        <v>0.13650000000000001</v>
      </c>
      <c r="AF38" s="1670">
        <f>SQRT(AG38^2+AH38^2)*1000/(1.73*AG22)</f>
        <v>30.817601586938263</v>
      </c>
      <c r="AG38" s="1567">
        <v>1.9351499999999999</v>
      </c>
      <c r="AH38" s="1568">
        <v>0.14595</v>
      </c>
      <c r="AI38" s="1670">
        <f>SQRT(AJ38^2+AK38^2)*1000/(1.73*AJ22)</f>
        <v>30.684588382548217</v>
      </c>
      <c r="AJ38" s="1567">
        <v>1.92675</v>
      </c>
      <c r="AK38" s="1568">
        <v>0.14595</v>
      </c>
      <c r="AL38" s="1670">
        <f>SQRT(AM38^2+AN38^2)*1000/(1.73*AM22)</f>
        <v>30.632204345170745</v>
      </c>
      <c r="AM38" s="1567">
        <v>1.9236</v>
      </c>
      <c r="AN38" s="1568">
        <v>0.14385000000000001</v>
      </c>
      <c r="AO38" s="1670">
        <f>SQRT(AP38^2+AQ38^2)*1000/(1.73*AP22)</f>
        <v>30.659361993648155</v>
      </c>
      <c r="AP38" s="1567">
        <v>1.9257</v>
      </c>
      <c r="AQ38" s="1568">
        <v>0.1386</v>
      </c>
      <c r="AR38" s="1670">
        <f>SQRT(AS38^2+AT38^2)*1000/(1.73*AS22)</f>
        <v>30.755610290194994</v>
      </c>
      <c r="AS38" s="1567">
        <v>1.9319999999999999</v>
      </c>
      <c r="AT38" s="1568">
        <v>0.13544999999999999</v>
      </c>
      <c r="AU38" s="1670">
        <f>SQRT(AV38^2+AW38^2)*1000/(1.73*AV22)</f>
        <v>30.019086636603966</v>
      </c>
      <c r="AV38" s="1567">
        <v>1.8857999999999999</v>
      </c>
      <c r="AW38" s="1568">
        <v>0.13125000000000001</v>
      </c>
      <c r="AX38" s="1670">
        <f>SQRT(AY38^2+AZ38^2)*1000/(1.73*AY22)</f>
        <v>11.171631836371722</v>
      </c>
      <c r="AY38" s="1567">
        <v>0.70350000000000001</v>
      </c>
      <c r="AZ38" s="1568">
        <v>0</v>
      </c>
      <c r="BA38" s="1670">
        <f>SQRT(BB38^2+BC38^2)*1000/(1.73*BB22)</f>
        <v>3.7016451756336153</v>
      </c>
      <c r="BB38" s="1567">
        <v>0.2331</v>
      </c>
      <c r="BC38" s="1568">
        <v>0</v>
      </c>
      <c r="BD38" s="1670">
        <f>SQRT(BE38^2+BF38^2)*1000/(1.73*BE22)</f>
        <v>3.5015562472209876</v>
      </c>
      <c r="BE38" s="1567">
        <v>0.2205</v>
      </c>
      <c r="BF38" s="1568">
        <v>0</v>
      </c>
      <c r="BG38" s="1670">
        <f>SQRT(BH38^2+BI38^2)*1000/(1.73*BH22)</f>
        <v>3.3181413961760784</v>
      </c>
      <c r="BH38" s="1567">
        <v>0.20895</v>
      </c>
      <c r="BI38" s="1568">
        <v>0</v>
      </c>
      <c r="BJ38" s="1670">
        <f>SQRT(BK38^2+BL38^2)*1000/(1.73*BK22)</f>
        <v>3.4682080924855496</v>
      </c>
      <c r="BK38" s="1567">
        <v>0.21840000000000001</v>
      </c>
      <c r="BL38" s="1568">
        <v>0</v>
      </c>
      <c r="BM38" s="1670">
        <f>SQRT(BN38^2+BO38^2)*1000/(1.73*BN22)</f>
        <v>3.5682525566918635</v>
      </c>
      <c r="BN38" s="1567">
        <v>0.22470000000000001</v>
      </c>
      <c r="BO38" s="1568">
        <v>0</v>
      </c>
      <c r="BP38" s="1670">
        <f>SQRT(BQ38^2+BR38^2)*1000/(1.73*BQ22)</f>
        <v>3.5349044019564255</v>
      </c>
      <c r="BQ38" s="1567">
        <v>0.22259999999999999</v>
      </c>
      <c r="BR38" s="1568">
        <v>0</v>
      </c>
      <c r="BS38" s="1670">
        <f>SQRT(BT38^2+BU38^2)*1000/(1.73*BT22)</f>
        <v>9.6876533000982779</v>
      </c>
      <c r="BT38" s="1567">
        <v>0.61004999999999998</v>
      </c>
      <c r="BU38" s="1568">
        <v>1.0499999999999999E-3</v>
      </c>
      <c r="BV38" s="1670">
        <f>SQRT(BW38^2+BX38^2)*1000/(1.73*BW22)</f>
        <v>24.326261721404592</v>
      </c>
      <c r="BW38" s="1567">
        <v>1.5246</v>
      </c>
      <c r="BX38" s="1568">
        <v>0.14910000000000001</v>
      </c>
      <c r="BY38" s="1670">
        <f>SQRT(BZ38^2+CA38^2)*1000/(1.73*BZ22)</f>
        <v>26.13693938201401</v>
      </c>
      <c r="BZ38" s="1567">
        <v>1.6443000000000001</v>
      </c>
      <c r="CA38" s="1568">
        <v>7.2450000000000001E-2</v>
      </c>
      <c r="CB38" s="1230">
        <f>SUM(I38,L38,O38,R38,U38,X38,AA38,AD38,AG38,AJ38,AM38,AP38,AS38,AV38,AY38,BB38,BE38,BH38,BK38,BN38,BQ38,BT38,BW38,BZ38)</f>
        <v>33.005699999999997</v>
      </c>
      <c r="CC38" s="1230">
        <f>SUM(J38,M38,P38,S38,V38,Y38,AB38,AE38,AH38,AK38,AN38,AQ38,AT38,AW38,AZ38,BC38,BF38,BI38,BL38,BO38,BR38,BU38,BX38,CA38)</f>
        <v>2.3121</v>
      </c>
    </row>
    <row r="39" spans="1:81" x14ac:dyDescent="0.2">
      <c r="A39" s="1256" t="s">
        <v>127</v>
      </c>
      <c r="B39" s="1671"/>
      <c r="C39" s="1672"/>
      <c r="D39" s="1673"/>
      <c r="E39" s="1674"/>
      <c r="F39" s="1673"/>
      <c r="G39" s="1675"/>
      <c r="H39" s="1551">
        <f t="shared" ref="H39:BS40" si="4">H35+H33+H37</f>
        <v>59.833699356408488</v>
      </c>
      <c r="I39" s="1552">
        <f t="shared" si="4"/>
        <v>3.7296</v>
      </c>
      <c r="J39" s="1553">
        <f t="shared" si="4"/>
        <v>0.53549999999999998</v>
      </c>
      <c r="K39" s="1551">
        <f t="shared" si="4"/>
        <v>59.343273261017011</v>
      </c>
      <c r="L39" s="1552">
        <f t="shared" si="4"/>
        <v>3.7002000000000002</v>
      </c>
      <c r="M39" s="1553">
        <f t="shared" si="4"/>
        <v>0.52290000000000003</v>
      </c>
      <c r="N39" s="1551">
        <f t="shared" si="4"/>
        <v>59.331449416672591</v>
      </c>
      <c r="O39" s="1552">
        <f t="shared" si="4"/>
        <v>3.6981000000000002</v>
      </c>
      <c r="P39" s="1553">
        <f t="shared" si="4"/>
        <v>0.53234999999999999</v>
      </c>
      <c r="Q39" s="1551">
        <f t="shared" si="4"/>
        <v>59.581387588713412</v>
      </c>
      <c r="R39" s="1552">
        <f t="shared" si="4"/>
        <v>3.7138499999999999</v>
      </c>
      <c r="S39" s="1553">
        <f t="shared" si="4"/>
        <v>0.53339999999999999</v>
      </c>
      <c r="T39" s="1551">
        <f t="shared" si="4"/>
        <v>60.210982252208154</v>
      </c>
      <c r="U39" s="1552">
        <f t="shared" si="4"/>
        <v>3.7537500000000001</v>
      </c>
      <c r="V39" s="1553">
        <f t="shared" si="4"/>
        <v>0.53444999999999998</v>
      </c>
      <c r="W39" s="1551">
        <f t="shared" si="4"/>
        <v>60.574442338316658</v>
      </c>
      <c r="X39" s="1552">
        <f t="shared" si="4"/>
        <v>3.7778999999999998</v>
      </c>
      <c r="Y39" s="1553">
        <f t="shared" si="4"/>
        <v>0.52710000000000001</v>
      </c>
      <c r="Z39" s="1551">
        <f t="shared" si="4"/>
        <v>60.900820726182218</v>
      </c>
      <c r="AA39" s="1552">
        <f t="shared" si="4"/>
        <v>3.7999499999999999</v>
      </c>
      <c r="AB39" s="1553">
        <f t="shared" si="4"/>
        <v>0.51765000000000005</v>
      </c>
      <c r="AC39" s="1551">
        <f t="shared" si="4"/>
        <v>61.03003194855139</v>
      </c>
      <c r="AD39" s="1552">
        <f t="shared" si="4"/>
        <v>3.8073000000000001</v>
      </c>
      <c r="AE39" s="1553">
        <f t="shared" si="4"/>
        <v>0.52395000000000003</v>
      </c>
      <c r="AF39" s="1551">
        <f t="shared" si="4"/>
        <v>61.642332101041248</v>
      </c>
      <c r="AG39" s="1552">
        <f t="shared" si="4"/>
        <v>3.843</v>
      </c>
      <c r="AH39" s="1553">
        <f t="shared" si="4"/>
        <v>0.54705000000000004</v>
      </c>
      <c r="AI39" s="1551">
        <f t="shared" si="4"/>
        <v>61.281551285763122</v>
      </c>
      <c r="AJ39" s="1552">
        <f t="shared" si="4"/>
        <v>3.8199000000000001</v>
      </c>
      <c r="AK39" s="1553">
        <f t="shared" si="4"/>
        <v>0.54810000000000003</v>
      </c>
      <c r="AL39" s="1551">
        <f t="shared" si="4"/>
        <v>61.463202710007195</v>
      </c>
      <c r="AM39" s="1552">
        <f t="shared" si="4"/>
        <v>3.8325</v>
      </c>
      <c r="AN39" s="1553">
        <f t="shared" si="4"/>
        <v>0.54074999999999995</v>
      </c>
      <c r="AO39" s="1551">
        <f t="shared" si="4"/>
        <v>61.307625787986531</v>
      </c>
      <c r="AP39" s="1552">
        <f t="shared" si="4"/>
        <v>3.8230499999999998</v>
      </c>
      <c r="AQ39" s="1553">
        <f t="shared" si="4"/>
        <v>0.53759999999999997</v>
      </c>
      <c r="AR39" s="1551">
        <f t="shared" si="4"/>
        <v>60.987322467371257</v>
      </c>
      <c r="AS39" s="1552">
        <f t="shared" si="4"/>
        <v>3.8041499999999999</v>
      </c>
      <c r="AT39" s="1553">
        <f t="shared" si="4"/>
        <v>0.52710000000000001</v>
      </c>
      <c r="AU39" s="1551">
        <f t="shared" si="4"/>
        <v>60.218967707466163</v>
      </c>
      <c r="AV39" s="1552">
        <f t="shared" si="4"/>
        <v>3.7568999999999999</v>
      </c>
      <c r="AW39" s="1553">
        <f t="shared" si="4"/>
        <v>0.51554999999999995</v>
      </c>
      <c r="AX39" s="1551">
        <f t="shared" si="4"/>
        <v>31.629146974503271</v>
      </c>
      <c r="AY39" s="1552">
        <f t="shared" si="4"/>
        <v>1.9897499999999999</v>
      </c>
      <c r="AZ39" s="1553">
        <f t="shared" si="4"/>
        <v>8.9249999999999996E-2</v>
      </c>
      <c r="BA39" s="1551">
        <f t="shared" si="4"/>
        <v>30.127856966335873</v>
      </c>
      <c r="BB39" s="1552">
        <f t="shared" si="4"/>
        <v>1.8963000000000001</v>
      </c>
      <c r="BC39" s="1553">
        <f t="shared" si="4"/>
        <v>5.8799999999999998E-2</v>
      </c>
      <c r="BD39" s="1551">
        <f t="shared" si="4"/>
        <v>31.216019367882026</v>
      </c>
      <c r="BE39" s="1552">
        <f t="shared" si="4"/>
        <v>1.96455</v>
      </c>
      <c r="BF39" s="1553">
        <f t="shared" si="4"/>
        <v>6.8250000000000005E-2</v>
      </c>
      <c r="BG39" s="1551">
        <f t="shared" si="4"/>
        <v>30.861172301615195</v>
      </c>
      <c r="BH39" s="1552">
        <f t="shared" si="4"/>
        <v>1.9424999999999999</v>
      </c>
      <c r="BI39" s="1553">
        <f t="shared" si="4"/>
        <v>5.8799999999999998E-2</v>
      </c>
      <c r="BJ39" s="1551">
        <f t="shared" si="4"/>
        <v>30.92497935793941</v>
      </c>
      <c r="BK39" s="1552">
        <f t="shared" si="4"/>
        <v>1.9467000000000001</v>
      </c>
      <c r="BL39" s="1553">
        <f t="shared" si="4"/>
        <v>5.2499999999999998E-2</v>
      </c>
      <c r="BM39" s="1551">
        <f t="shared" si="4"/>
        <v>31.896529417652086</v>
      </c>
      <c r="BN39" s="1552">
        <f t="shared" si="4"/>
        <v>2.0076000000000001</v>
      </c>
      <c r="BO39" s="1553">
        <f t="shared" si="4"/>
        <v>6.3E-2</v>
      </c>
      <c r="BP39" s="1551">
        <f t="shared" si="4"/>
        <v>32.217601202743666</v>
      </c>
      <c r="BQ39" s="1552">
        <f t="shared" si="4"/>
        <v>2.0275500000000002</v>
      </c>
      <c r="BR39" s="1553">
        <f t="shared" si="4"/>
        <v>7.1400000000000005E-2</v>
      </c>
      <c r="BS39" s="1551">
        <f t="shared" si="4"/>
        <v>32.102760985359247</v>
      </c>
      <c r="BT39" s="1552">
        <f t="shared" ref="BT39:CA40" si="5">BT35+BT33+BT37</f>
        <v>2.0202</v>
      </c>
      <c r="BU39" s="1553">
        <f t="shared" si="5"/>
        <v>7.4550000000000005E-2</v>
      </c>
      <c r="BV39" s="1551">
        <f t="shared" si="5"/>
        <v>48.67552743955617</v>
      </c>
      <c r="BW39" s="1552">
        <f t="shared" si="5"/>
        <v>3.0387</v>
      </c>
      <c r="BX39" s="1553">
        <f t="shared" si="5"/>
        <v>0.40215000000000001</v>
      </c>
      <c r="BY39" s="1551">
        <f t="shared" si="5"/>
        <v>50.367044674930447</v>
      </c>
      <c r="BZ39" s="1552">
        <f t="shared" si="5"/>
        <v>3.1541999999999999</v>
      </c>
      <c r="CA39" s="1553">
        <f t="shared" si="5"/>
        <v>0.33284999999999998</v>
      </c>
    </row>
    <row r="40" spans="1:81" ht="13.5" thickBot="1" x14ac:dyDescent="0.25">
      <c r="A40" s="1267" t="s">
        <v>128</v>
      </c>
      <c r="B40" s="1676"/>
      <c r="C40" s="1677"/>
      <c r="D40" s="1678"/>
      <c r="E40" s="1679"/>
      <c r="F40" s="1680"/>
      <c r="G40" s="1681"/>
      <c r="H40" s="1561">
        <f t="shared" si="4"/>
        <v>31.008696100122119</v>
      </c>
      <c r="I40" s="1562">
        <f t="shared" si="4"/>
        <v>1.9446000000000001</v>
      </c>
      <c r="J40" s="1563">
        <f t="shared" si="4"/>
        <v>0.17745</v>
      </c>
      <c r="K40" s="1561">
        <f t="shared" si="4"/>
        <v>31.068679095304372</v>
      </c>
      <c r="L40" s="1562">
        <f t="shared" si="4"/>
        <v>1.9498500000000001</v>
      </c>
      <c r="M40" s="1563">
        <f t="shared" si="4"/>
        <v>0.16064999999999999</v>
      </c>
      <c r="N40" s="1561">
        <f t="shared" si="4"/>
        <v>31.306840224402251</v>
      </c>
      <c r="O40" s="1562">
        <f t="shared" si="4"/>
        <v>1.96455</v>
      </c>
      <c r="P40" s="1563">
        <f t="shared" si="4"/>
        <v>0.16485</v>
      </c>
      <c r="Q40" s="1561">
        <f t="shared" si="4"/>
        <v>31.377760632089807</v>
      </c>
      <c r="R40" s="1562">
        <f t="shared" si="4"/>
        <v>1.9698</v>
      </c>
      <c r="S40" s="1563">
        <f t="shared" si="4"/>
        <v>0.15540000000000001</v>
      </c>
      <c r="T40" s="1561">
        <f t="shared" si="4"/>
        <v>31.363779967724568</v>
      </c>
      <c r="U40" s="1562">
        <f t="shared" si="4"/>
        <v>1.96875</v>
      </c>
      <c r="V40" s="1563">
        <f t="shared" si="4"/>
        <v>0.1575</v>
      </c>
      <c r="W40" s="1561">
        <f t="shared" si="4"/>
        <v>31.306085360688577</v>
      </c>
      <c r="X40" s="1562">
        <f t="shared" si="4"/>
        <v>1.9656</v>
      </c>
      <c r="Y40" s="1563">
        <f t="shared" si="4"/>
        <v>0.1512</v>
      </c>
      <c r="Z40" s="1561">
        <f t="shared" si="4"/>
        <v>31.099027274181068</v>
      </c>
      <c r="AA40" s="1562">
        <f t="shared" si="4"/>
        <v>1.9530000000000001</v>
      </c>
      <c r="AB40" s="1563">
        <f t="shared" si="4"/>
        <v>0.1449</v>
      </c>
      <c r="AC40" s="1561">
        <f t="shared" si="4"/>
        <v>31.039541828752526</v>
      </c>
      <c r="AD40" s="1562">
        <f t="shared" si="4"/>
        <v>1.9498500000000001</v>
      </c>
      <c r="AE40" s="1563">
        <f t="shared" si="4"/>
        <v>0.13650000000000001</v>
      </c>
      <c r="AF40" s="1561">
        <f t="shared" si="4"/>
        <v>30.817601586938263</v>
      </c>
      <c r="AG40" s="1562">
        <f t="shared" si="4"/>
        <v>1.9351499999999999</v>
      </c>
      <c r="AH40" s="1563">
        <f t="shared" si="4"/>
        <v>0.14595</v>
      </c>
      <c r="AI40" s="1561">
        <f t="shared" si="4"/>
        <v>30.684588382548217</v>
      </c>
      <c r="AJ40" s="1562">
        <f t="shared" si="4"/>
        <v>1.92675</v>
      </c>
      <c r="AK40" s="1563">
        <f t="shared" si="4"/>
        <v>0.14595</v>
      </c>
      <c r="AL40" s="1561">
        <f t="shared" si="4"/>
        <v>30.632204345170745</v>
      </c>
      <c r="AM40" s="1562">
        <f t="shared" si="4"/>
        <v>1.9236</v>
      </c>
      <c r="AN40" s="1563">
        <f t="shared" si="4"/>
        <v>0.14385000000000001</v>
      </c>
      <c r="AO40" s="1561">
        <f t="shared" si="4"/>
        <v>30.659361993648155</v>
      </c>
      <c r="AP40" s="1562">
        <f t="shared" si="4"/>
        <v>1.9257</v>
      </c>
      <c r="AQ40" s="1563">
        <f t="shared" si="4"/>
        <v>0.1386</v>
      </c>
      <c r="AR40" s="1561">
        <f t="shared" si="4"/>
        <v>30.755610290194994</v>
      </c>
      <c r="AS40" s="1562">
        <f t="shared" si="4"/>
        <v>1.9319999999999999</v>
      </c>
      <c r="AT40" s="1563">
        <f t="shared" si="4"/>
        <v>0.13544999999999999</v>
      </c>
      <c r="AU40" s="1561">
        <f t="shared" si="4"/>
        <v>30.019086636603966</v>
      </c>
      <c r="AV40" s="1562">
        <f t="shared" si="4"/>
        <v>1.8857999999999999</v>
      </c>
      <c r="AW40" s="1563">
        <f t="shared" si="4"/>
        <v>0.13125000000000001</v>
      </c>
      <c r="AX40" s="1561">
        <f t="shared" si="4"/>
        <v>11.171631836371722</v>
      </c>
      <c r="AY40" s="1562">
        <f t="shared" si="4"/>
        <v>0.70350000000000001</v>
      </c>
      <c r="AZ40" s="1563">
        <f t="shared" si="4"/>
        <v>0</v>
      </c>
      <c r="BA40" s="1561">
        <f t="shared" si="4"/>
        <v>3.7016451756336153</v>
      </c>
      <c r="BB40" s="1562">
        <f t="shared" si="4"/>
        <v>0.2331</v>
      </c>
      <c r="BC40" s="1563">
        <f t="shared" si="4"/>
        <v>0</v>
      </c>
      <c r="BD40" s="1561">
        <f t="shared" si="4"/>
        <v>3.5015562472209876</v>
      </c>
      <c r="BE40" s="1562">
        <f t="shared" si="4"/>
        <v>0.2205</v>
      </c>
      <c r="BF40" s="1563">
        <f t="shared" si="4"/>
        <v>0</v>
      </c>
      <c r="BG40" s="1561">
        <f t="shared" si="4"/>
        <v>3.3181413961760784</v>
      </c>
      <c r="BH40" s="1562">
        <f t="shared" si="4"/>
        <v>0.20895</v>
      </c>
      <c r="BI40" s="1563">
        <f t="shared" si="4"/>
        <v>0</v>
      </c>
      <c r="BJ40" s="1561">
        <f t="shared" si="4"/>
        <v>3.4682080924855496</v>
      </c>
      <c r="BK40" s="1562">
        <f t="shared" si="4"/>
        <v>0.21840000000000001</v>
      </c>
      <c r="BL40" s="1563">
        <f t="shared" si="4"/>
        <v>0</v>
      </c>
      <c r="BM40" s="1561">
        <f t="shared" si="4"/>
        <v>3.5682525566918635</v>
      </c>
      <c r="BN40" s="1562">
        <f t="shared" si="4"/>
        <v>0.22470000000000001</v>
      </c>
      <c r="BO40" s="1563">
        <f t="shared" si="4"/>
        <v>0</v>
      </c>
      <c r="BP40" s="1561">
        <f t="shared" si="4"/>
        <v>3.5349044019564255</v>
      </c>
      <c r="BQ40" s="1562">
        <f t="shared" si="4"/>
        <v>0.22259999999999999</v>
      </c>
      <c r="BR40" s="1563">
        <f t="shared" si="4"/>
        <v>0</v>
      </c>
      <c r="BS40" s="1561">
        <f t="shared" si="4"/>
        <v>9.6876533000982779</v>
      </c>
      <c r="BT40" s="1562">
        <f t="shared" si="5"/>
        <v>0.61004999999999998</v>
      </c>
      <c r="BU40" s="1563">
        <f t="shared" si="5"/>
        <v>1.0499999999999999E-3</v>
      </c>
      <c r="BV40" s="1561">
        <f t="shared" si="5"/>
        <v>24.326261721404592</v>
      </c>
      <c r="BW40" s="1562">
        <f t="shared" si="5"/>
        <v>1.5246</v>
      </c>
      <c r="BX40" s="1563">
        <f t="shared" si="5"/>
        <v>0.14910000000000001</v>
      </c>
      <c r="BY40" s="1561">
        <f t="shared" si="5"/>
        <v>26.13693938201401</v>
      </c>
      <c r="BZ40" s="1562">
        <f t="shared" si="5"/>
        <v>1.6443000000000001</v>
      </c>
      <c r="CA40" s="1563">
        <f t="shared" si="5"/>
        <v>7.2450000000000001E-2</v>
      </c>
    </row>
    <row r="41" spans="1:81" ht="13.5" thickBot="1" x14ac:dyDescent="0.25">
      <c r="A41" s="1277" t="s">
        <v>129</v>
      </c>
      <c r="B41" s="1618"/>
      <c r="C41" s="1682"/>
      <c r="D41" s="1683"/>
      <c r="E41" s="1684"/>
      <c r="F41" s="1683"/>
      <c r="G41" s="1685"/>
      <c r="H41" s="1686">
        <f t="shared" ref="H41:BS41" si="6">H39+H40</f>
        <v>90.84239545653061</v>
      </c>
      <c r="I41" s="1687">
        <f t="shared" si="6"/>
        <v>5.6741999999999999</v>
      </c>
      <c r="J41" s="1688">
        <f t="shared" si="6"/>
        <v>0.71294999999999997</v>
      </c>
      <c r="K41" s="1686">
        <f t="shared" si="6"/>
        <v>90.411952356321379</v>
      </c>
      <c r="L41" s="1687">
        <f t="shared" si="6"/>
        <v>5.6500500000000002</v>
      </c>
      <c r="M41" s="1688">
        <f t="shared" si="6"/>
        <v>0.68354999999999999</v>
      </c>
      <c r="N41" s="1686">
        <f t="shared" si="6"/>
        <v>90.638289641074834</v>
      </c>
      <c r="O41" s="1687">
        <f t="shared" si="6"/>
        <v>5.6626500000000002</v>
      </c>
      <c r="P41" s="1688">
        <f t="shared" si="6"/>
        <v>0.69720000000000004</v>
      </c>
      <c r="Q41" s="1686">
        <f t="shared" si="6"/>
        <v>90.959148220803215</v>
      </c>
      <c r="R41" s="1687">
        <f t="shared" si="6"/>
        <v>5.6836500000000001</v>
      </c>
      <c r="S41" s="1688">
        <f t="shared" si="6"/>
        <v>0.68879999999999997</v>
      </c>
      <c r="T41" s="1686">
        <f t="shared" si="6"/>
        <v>91.574762219932722</v>
      </c>
      <c r="U41" s="1687">
        <f t="shared" si="6"/>
        <v>5.7225000000000001</v>
      </c>
      <c r="V41" s="1688">
        <f t="shared" si="6"/>
        <v>0.69194999999999995</v>
      </c>
      <c r="W41" s="1686">
        <f t="shared" si="6"/>
        <v>91.880527699005228</v>
      </c>
      <c r="X41" s="1687">
        <f t="shared" si="6"/>
        <v>5.7435</v>
      </c>
      <c r="Y41" s="1688">
        <f t="shared" si="6"/>
        <v>0.67830000000000001</v>
      </c>
      <c r="Z41" s="1686">
        <f t="shared" si="6"/>
        <v>91.999848000363286</v>
      </c>
      <c r="AA41" s="1687">
        <f t="shared" si="6"/>
        <v>5.7529500000000002</v>
      </c>
      <c r="AB41" s="1688">
        <f t="shared" si="6"/>
        <v>0.66255000000000008</v>
      </c>
      <c r="AC41" s="1686">
        <f t="shared" si="6"/>
        <v>92.069573777303916</v>
      </c>
      <c r="AD41" s="1687">
        <f t="shared" si="6"/>
        <v>5.7571500000000002</v>
      </c>
      <c r="AE41" s="1688">
        <f t="shared" si="6"/>
        <v>0.66044999999999998</v>
      </c>
      <c r="AF41" s="1686">
        <f t="shared" si="6"/>
        <v>92.459933687979515</v>
      </c>
      <c r="AG41" s="1687">
        <f t="shared" si="6"/>
        <v>5.7781500000000001</v>
      </c>
      <c r="AH41" s="1688">
        <f t="shared" si="6"/>
        <v>0.69300000000000006</v>
      </c>
      <c r="AI41" s="1686">
        <f t="shared" si="6"/>
        <v>91.966139668311342</v>
      </c>
      <c r="AJ41" s="1687">
        <f t="shared" si="6"/>
        <v>5.7466499999999998</v>
      </c>
      <c r="AK41" s="1688">
        <f t="shared" si="6"/>
        <v>0.69405000000000006</v>
      </c>
      <c r="AL41" s="1686">
        <f t="shared" si="6"/>
        <v>92.095407055177944</v>
      </c>
      <c r="AM41" s="1687">
        <f t="shared" si="6"/>
        <v>5.7561</v>
      </c>
      <c r="AN41" s="1688">
        <f t="shared" si="6"/>
        <v>0.68459999999999999</v>
      </c>
      <c r="AO41" s="1686">
        <f t="shared" si="6"/>
        <v>91.966987781634685</v>
      </c>
      <c r="AP41" s="1687">
        <f t="shared" si="6"/>
        <v>5.7487499999999994</v>
      </c>
      <c r="AQ41" s="1688">
        <f t="shared" si="6"/>
        <v>0.67619999999999991</v>
      </c>
      <c r="AR41" s="1686">
        <f t="shared" si="6"/>
        <v>91.742932757566251</v>
      </c>
      <c r="AS41" s="1687">
        <f t="shared" si="6"/>
        <v>5.7361500000000003</v>
      </c>
      <c r="AT41" s="1688">
        <f t="shared" si="6"/>
        <v>0.66254999999999997</v>
      </c>
      <c r="AU41" s="1686">
        <f t="shared" si="6"/>
        <v>90.238054344070122</v>
      </c>
      <c r="AV41" s="1687">
        <f t="shared" si="6"/>
        <v>5.6426999999999996</v>
      </c>
      <c r="AW41" s="1688">
        <f t="shared" si="6"/>
        <v>0.64679999999999993</v>
      </c>
      <c r="AX41" s="1686">
        <f t="shared" si="6"/>
        <v>42.800778810874995</v>
      </c>
      <c r="AY41" s="1687">
        <f t="shared" si="6"/>
        <v>2.6932499999999999</v>
      </c>
      <c r="AZ41" s="1688">
        <f t="shared" si="6"/>
        <v>8.9249999999999996E-2</v>
      </c>
      <c r="BA41" s="1686">
        <f t="shared" si="6"/>
        <v>33.829502141969485</v>
      </c>
      <c r="BB41" s="1687">
        <f t="shared" si="6"/>
        <v>2.1294</v>
      </c>
      <c r="BC41" s="1688">
        <f t="shared" si="6"/>
        <v>5.8799999999999998E-2</v>
      </c>
      <c r="BD41" s="1686">
        <f t="shared" si="6"/>
        <v>34.717575615103016</v>
      </c>
      <c r="BE41" s="1687">
        <f t="shared" si="6"/>
        <v>2.1850499999999999</v>
      </c>
      <c r="BF41" s="1688">
        <f t="shared" si="6"/>
        <v>6.8250000000000005E-2</v>
      </c>
      <c r="BG41" s="1686">
        <f t="shared" si="6"/>
        <v>34.179313697791272</v>
      </c>
      <c r="BH41" s="1687">
        <f t="shared" si="6"/>
        <v>2.1514500000000001</v>
      </c>
      <c r="BI41" s="1688">
        <f t="shared" si="6"/>
        <v>5.8799999999999998E-2</v>
      </c>
      <c r="BJ41" s="1686">
        <f t="shared" si="6"/>
        <v>34.393187450424961</v>
      </c>
      <c r="BK41" s="1687">
        <f t="shared" si="6"/>
        <v>2.1651000000000002</v>
      </c>
      <c r="BL41" s="1688">
        <f t="shared" si="6"/>
        <v>5.2499999999999998E-2</v>
      </c>
      <c r="BM41" s="1686">
        <f t="shared" si="6"/>
        <v>35.46478197434395</v>
      </c>
      <c r="BN41" s="1687">
        <f t="shared" si="6"/>
        <v>2.2323</v>
      </c>
      <c r="BO41" s="1688">
        <f t="shared" si="6"/>
        <v>6.3E-2</v>
      </c>
      <c r="BP41" s="1686">
        <f t="shared" si="6"/>
        <v>35.75250560470009</v>
      </c>
      <c r="BQ41" s="1687">
        <f t="shared" si="6"/>
        <v>2.2501500000000001</v>
      </c>
      <c r="BR41" s="1688">
        <f t="shared" si="6"/>
        <v>7.1400000000000005E-2</v>
      </c>
      <c r="BS41" s="1686">
        <f t="shared" si="6"/>
        <v>41.790414285457523</v>
      </c>
      <c r="BT41" s="1687">
        <f t="shared" ref="BT41:CA41" si="7">BT39+BT40</f>
        <v>2.6302500000000002</v>
      </c>
      <c r="BU41" s="1688">
        <f t="shared" si="7"/>
        <v>7.5600000000000001E-2</v>
      </c>
      <c r="BV41" s="1686">
        <f t="shared" si="7"/>
        <v>73.001789160960755</v>
      </c>
      <c r="BW41" s="1687">
        <f t="shared" si="7"/>
        <v>4.5632999999999999</v>
      </c>
      <c r="BX41" s="1688">
        <f t="shared" si="7"/>
        <v>0.55125000000000002</v>
      </c>
      <c r="BY41" s="1686">
        <f t="shared" si="7"/>
        <v>76.503984056944461</v>
      </c>
      <c r="BZ41" s="1687">
        <f t="shared" si="7"/>
        <v>4.7984999999999998</v>
      </c>
      <c r="CA41" s="1688">
        <f t="shared" si="7"/>
        <v>0.40529999999999999</v>
      </c>
      <c r="CB41" s="1230">
        <f>SUM(I41,L41,O41,R41,U41,X41,AA41,AD41,AG41,AJ41,AM41,AP41,AS41,AV41,AY41,BB41,BE41,BH41,BK41,BN41,BQ41,BT41,BW41,BZ41)</f>
        <v>107.85390000000002</v>
      </c>
    </row>
    <row r="42" spans="1:81" x14ac:dyDescent="0.2">
      <c r="A42" s="1637" t="s">
        <v>40</v>
      </c>
      <c r="B42" s="1638"/>
      <c r="C42" s="1638"/>
      <c r="D42" s="469"/>
      <c r="E42" s="1639"/>
      <c r="F42" s="469"/>
      <c r="G42" s="1639"/>
      <c r="H42" s="1640"/>
      <c r="I42" s="469"/>
      <c r="J42" s="469"/>
      <c r="K42" s="1640"/>
      <c r="L42" s="469"/>
      <c r="M42" s="469"/>
      <c r="N42" s="1640"/>
      <c r="O42" s="469"/>
      <c r="P42" s="469"/>
      <c r="Q42" s="1640"/>
      <c r="R42" s="469"/>
      <c r="S42" s="469"/>
      <c r="T42" s="1640"/>
      <c r="U42" s="469"/>
      <c r="V42" s="469"/>
      <c r="W42" s="1640"/>
      <c r="X42" s="469"/>
      <c r="Y42" s="469"/>
      <c r="Z42" s="1640"/>
      <c r="AA42" s="469"/>
      <c r="AB42" s="469"/>
      <c r="AC42" s="1640"/>
      <c r="AD42" s="469"/>
      <c r="AE42" s="469"/>
      <c r="AF42" s="1640"/>
      <c r="AG42" s="469"/>
      <c r="AH42" s="469"/>
      <c r="AI42" s="1640"/>
      <c r="AJ42" s="469"/>
      <c r="AK42" s="469"/>
      <c r="AL42" s="1640"/>
      <c r="AM42" s="469"/>
      <c r="AN42" s="469"/>
      <c r="AO42" s="1640"/>
      <c r="AP42" s="469"/>
      <c r="AQ42" s="469"/>
      <c r="AR42" s="1640"/>
      <c r="AS42" s="469"/>
      <c r="AT42" s="469"/>
      <c r="AU42" s="1640"/>
      <c r="AV42" s="469"/>
      <c r="AW42" s="469"/>
      <c r="AX42" s="1640"/>
      <c r="AY42" s="469"/>
      <c r="AZ42" s="469"/>
      <c r="BA42" s="1640"/>
      <c r="BB42" s="469"/>
      <c r="BC42" s="469"/>
      <c r="BD42" s="1640"/>
      <c r="BE42" s="469"/>
      <c r="BF42" s="469"/>
      <c r="BG42" s="1640"/>
      <c r="BH42" s="469"/>
      <c r="BI42" s="469"/>
      <c r="BJ42" s="1640"/>
      <c r="BK42" s="469"/>
      <c r="BL42" s="469"/>
      <c r="BM42" s="1640"/>
      <c r="BN42" s="469"/>
      <c r="BO42" s="469"/>
      <c r="BP42" s="1640"/>
      <c r="BQ42" s="469"/>
      <c r="BR42" s="469"/>
      <c r="BS42" s="1640"/>
      <c r="BT42" s="469"/>
      <c r="BU42" s="469"/>
      <c r="BV42" s="1640"/>
      <c r="BW42" s="469"/>
      <c r="BX42" s="469"/>
      <c r="BY42" s="1640"/>
      <c r="BZ42" s="469"/>
      <c r="CA42" s="469"/>
    </row>
    <row r="43" spans="1:81" ht="13.5" thickBot="1" x14ac:dyDescent="0.25">
      <c r="A43" s="1607"/>
      <c r="B43" s="1641" t="s">
        <v>289</v>
      </c>
      <c r="C43" s="1642"/>
      <c r="D43" s="1689" t="s">
        <v>387</v>
      </c>
      <c r="E43" s="1690"/>
      <c r="F43" s="1689" t="s">
        <v>388</v>
      </c>
      <c r="G43" s="1690"/>
      <c r="H43" s="1640"/>
      <c r="I43" s="469"/>
      <c r="J43" s="469"/>
      <c r="K43" s="1640"/>
      <c r="L43" s="469"/>
      <c r="M43" s="469"/>
      <c r="N43" s="1640"/>
      <c r="O43" s="469"/>
      <c r="P43" s="469"/>
      <c r="Q43" s="1640"/>
      <c r="R43" s="469"/>
      <c r="S43" s="469"/>
      <c r="T43" s="1640"/>
      <c r="U43" s="469"/>
      <c r="V43" s="469"/>
      <c r="W43" s="1640"/>
      <c r="X43" s="469"/>
      <c r="Y43" s="469"/>
      <c r="Z43" s="1640"/>
      <c r="AA43" s="469"/>
      <c r="AB43" s="469"/>
      <c r="AC43" s="1640"/>
      <c r="AD43" s="469"/>
      <c r="AE43" s="469"/>
      <c r="AF43" s="1640"/>
      <c r="AG43" s="469"/>
      <c r="AH43" s="469"/>
      <c r="AI43" s="1640"/>
      <c r="AJ43" s="469"/>
      <c r="AK43" s="469"/>
      <c r="AL43" s="1640"/>
      <c r="AM43" s="469"/>
      <c r="AN43" s="469"/>
      <c r="AO43" s="1640"/>
      <c r="AP43" s="469"/>
      <c r="AQ43" s="469"/>
      <c r="AR43" s="1640"/>
      <c r="AS43" s="469"/>
      <c r="AT43" s="469"/>
      <c r="AU43" s="1640"/>
      <c r="AV43" s="469"/>
      <c r="AW43" s="469"/>
      <c r="AX43" s="1640"/>
      <c r="AY43" s="469"/>
      <c r="AZ43" s="469"/>
      <c r="BA43" s="1640"/>
      <c r="BB43" s="469"/>
      <c r="BC43" s="469"/>
      <c r="BD43" s="1640"/>
      <c r="BE43" s="469"/>
      <c r="BF43" s="469"/>
      <c r="BG43" s="1640"/>
      <c r="BH43" s="469"/>
      <c r="BI43" s="469"/>
      <c r="BJ43" s="1640"/>
      <c r="BK43" s="469"/>
      <c r="BL43" s="469"/>
      <c r="BM43" s="1640"/>
      <c r="BN43" s="469"/>
      <c r="BO43" s="469"/>
      <c r="BP43" s="1640"/>
      <c r="BQ43" s="469"/>
      <c r="BR43" s="469"/>
      <c r="BS43" s="1640"/>
      <c r="BT43" s="469"/>
      <c r="BU43" s="469"/>
      <c r="BV43" s="1640"/>
      <c r="BW43" s="469"/>
      <c r="BX43" s="469"/>
      <c r="BY43" s="1640"/>
      <c r="BZ43" s="469"/>
      <c r="CA43" s="469"/>
    </row>
    <row r="44" spans="1:81" x14ac:dyDescent="0.2">
      <c r="A44" s="1691">
        <v>1</v>
      </c>
      <c r="B44" s="1692" t="s">
        <v>389</v>
      </c>
      <c r="C44" s="1672"/>
      <c r="D44" s="1693"/>
      <c r="E44" s="1694"/>
      <c r="F44" s="1695"/>
      <c r="G44" s="1696"/>
      <c r="H44" s="1650">
        <f>SQRT(I44^2+J44^2)*1000/(1.73*I15)</f>
        <v>3.6166688728790977</v>
      </c>
      <c r="I44" s="1697">
        <v>1.9099999999999999E-2</v>
      </c>
      <c r="J44" s="1698">
        <v>-6.1550000000000001E-2</v>
      </c>
      <c r="K44" s="1650">
        <f>SQRT(L44^2+M44^2)*1000/(1.73*L15)</f>
        <v>3.6362613314490138</v>
      </c>
      <c r="L44" s="1697">
        <v>1.915E-2</v>
      </c>
      <c r="M44" s="1698">
        <v>-6.1899999999999997E-2</v>
      </c>
      <c r="N44" s="1650">
        <f>SQRT(O44^2+P44^2)*1000/(1.73*O15)</f>
        <v>3.6360794416204891</v>
      </c>
      <c r="O44" s="1697">
        <v>1.9300000000000001E-2</v>
      </c>
      <c r="P44" s="1698">
        <v>-6.1850000000000002E-2</v>
      </c>
      <c r="Q44" s="1650">
        <f>SQRT(R44^2+S44^2)*1000/(1.73*R15)</f>
        <v>3.634238377653753</v>
      </c>
      <c r="R44" s="1697">
        <v>1.9349999999999999E-2</v>
      </c>
      <c r="S44" s="1698">
        <v>-6.1800000000000001E-2</v>
      </c>
      <c r="T44" s="1650">
        <f>SQRT(U44^2+V44^2)*1000/(1.73*U15)</f>
        <v>3.6432831186193599</v>
      </c>
      <c r="U44" s="1697">
        <v>1.925E-2</v>
      </c>
      <c r="V44" s="1698">
        <v>-6.2E-2</v>
      </c>
      <c r="W44" s="1650">
        <f>SQRT(X44^2+Y44^2)*1000/(1.73*X15)</f>
        <v>3.6540652386321142</v>
      </c>
      <c r="X44" s="1697">
        <v>2.035E-2</v>
      </c>
      <c r="Y44" s="1698">
        <v>-6.1850000000000002E-2</v>
      </c>
      <c r="Z44" s="1650">
        <f>SQRT(AA44^2+AB44^2)*1000/(1.73*AA15)</f>
        <v>3.6679048517402268</v>
      </c>
      <c r="AA44" s="1697">
        <v>2.24E-2</v>
      </c>
      <c r="AB44" s="1698">
        <v>-6.1400000000000003E-2</v>
      </c>
      <c r="AC44" s="1650">
        <f>SQRT(AD44^2+AE44^2)*1000/(1.73*AD15)</f>
        <v>3.6468245662675791</v>
      </c>
      <c r="AD44" s="1697">
        <v>2.24E-2</v>
      </c>
      <c r="AE44" s="1698">
        <v>-6.0999999999999999E-2</v>
      </c>
      <c r="AF44" s="1650">
        <f>SQRT(AG44^2+AH44^2)*1000/(1.73*AG15)</f>
        <v>3.6579449625885143</v>
      </c>
      <c r="AG44" s="1697">
        <v>2.375E-2</v>
      </c>
      <c r="AH44" s="1698">
        <v>-6.0699999999999997E-2</v>
      </c>
      <c r="AI44" s="1650">
        <f>SQRT(AJ44^2+AK44^2)*1000/(1.73*AJ15)</f>
        <v>3.6408369814369324</v>
      </c>
      <c r="AJ44" s="1697">
        <v>2.1950000000000001E-2</v>
      </c>
      <c r="AK44" s="1698">
        <v>-6.105E-2</v>
      </c>
      <c r="AL44" s="1650">
        <f>SQRT(AM44^2+AN44^2)*1000/(1.73*AM15)</f>
        <v>3.6451595748038468</v>
      </c>
      <c r="AM44" s="1697">
        <v>2.2450000000000001E-2</v>
      </c>
      <c r="AN44" s="1698">
        <v>-6.0949999999999997E-2</v>
      </c>
      <c r="AO44" s="1650">
        <f>SQRT(AP44^2+AQ44^2)*1000/(1.73*AP15)</f>
        <v>3.7136442811813253</v>
      </c>
      <c r="AP44" s="1697">
        <v>2.5649999999999999E-2</v>
      </c>
      <c r="AQ44" s="1698">
        <v>-6.0999999999999999E-2</v>
      </c>
      <c r="AR44" s="1650">
        <f>SQRT(AS44^2+AT44^2)*1000/(1.73*AS15)</f>
        <v>3.6896255179319977</v>
      </c>
      <c r="AS44" s="1697">
        <v>2.4400000000000002E-2</v>
      </c>
      <c r="AT44" s="1698">
        <v>-6.105E-2</v>
      </c>
      <c r="AU44" s="1650">
        <f>SQRT(AV44^2+AW44^2)*1000/(1.73*AV15)</f>
        <v>3.6985082018805882</v>
      </c>
      <c r="AV44" s="1697">
        <v>2.47E-2</v>
      </c>
      <c r="AW44" s="1698">
        <v>-6.1100000000000002E-2</v>
      </c>
      <c r="AX44" s="1650">
        <f>SQRT(AY44^2+AZ44^2)*1000/(1.73*AY15)</f>
        <v>3.7341481386012694</v>
      </c>
      <c r="AY44" s="1697">
        <v>2.5399999999999999E-2</v>
      </c>
      <c r="AZ44" s="1698">
        <v>-6.1499999999999999E-2</v>
      </c>
      <c r="BA44" s="1650">
        <f>SQRT(BB44^2+BC44^2)*1000/(1.73*BB15)</f>
        <v>3.6985082018805882</v>
      </c>
      <c r="BB44" s="1697">
        <v>2.47E-2</v>
      </c>
      <c r="BC44" s="1698">
        <v>-6.1100000000000002E-2</v>
      </c>
      <c r="BD44" s="1650">
        <f>SQRT(BE44^2+BF44^2)*1000/(1.73*BE15)</f>
        <v>3.7017894459403133</v>
      </c>
      <c r="BE44" s="1697">
        <v>2.5100000000000001E-2</v>
      </c>
      <c r="BF44" s="1698">
        <v>-6.0999999999999999E-2</v>
      </c>
      <c r="BG44" s="1650">
        <f>SQRT(BH44^2+BI44^2)*1000/(1.73*BH15)</f>
        <v>3.649204119440999</v>
      </c>
      <c r="BH44" s="1697">
        <v>2.2249999999999999E-2</v>
      </c>
      <c r="BI44" s="1698">
        <v>-6.1100000000000002E-2</v>
      </c>
      <c r="BJ44" s="1650">
        <f>SQRT(BK44^2+BL44^2)*1000/(1.73*BK15)</f>
        <v>3.6432236871226436</v>
      </c>
      <c r="BK44" s="1697">
        <v>2.2349999999999998E-2</v>
      </c>
      <c r="BL44" s="1698">
        <v>-6.0949999999999997E-2</v>
      </c>
      <c r="BM44" s="1650">
        <f>SQRT(BN44^2+BO44^2)*1000/(1.73*BN15)</f>
        <v>3.6631835410467724</v>
      </c>
      <c r="BN44" s="1697">
        <v>2.2700000000000001E-2</v>
      </c>
      <c r="BO44" s="1698">
        <v>-6.1199999999999997E-2</v>
      </c>
      <c r="BP44" s="1650">
        <f>SQRT(BQ44^2+BR44^2)*1000/(1.73*BQ15)</f>
        <v>3.6674722821830112</v>
      </c>
      <c r="BQ44" s="1697">
        <v>2.265E-2</v>
      </c>
      <c r="BR44" s="1698">
        <v>-6.13E-2</v>
      </c>
      <c r="BS44" s="1650">
        <f>SQRT(BT44^2+BU44^2)*1000/(1.73*BT15)</f>
        <v>3.6704123208223689</v>
      </c>
      <c r="BT44" s="1697">
        <v>2.3199999999999998E-2</v>
      </c>
      <c r="BU44" s="1698">
        <v>-6.1150000000000003E-2</v>
      </c>
      <c r="BV44" s="1650">
        <f>SQRT(BW44^2+BX44^2)*1000/(1.73*BW15)</f>
        <v>3.6740315565832979</v>
      </c>
      <c r="BW44" s="1697">
        <v>2.325E-2</v>
      </c>
      <c r="BX44" s="1698">
        <v>-6.1199999999999997E-2</v>
      </c>
      <c r="BY44" s="1650">
        <f>SQRT(BZ44^2+CA44^2)*1000/(1.73*BZ15)</f>
        <v>3.6812262012836725</v>
      </c>
      <c r="BZ44" s="1697">
        <v>2.2950000000000002E-2</v>
      </c>
      <c r="CA44" s="1698">
        <v>-6.1449999999999998E-2</v>
      </c>
      <c r="CB44" s="1230">
        <f>SUM(I44,L44,O44,R44,U44,X44,AA44,AD44,AG44,AJ44,AM44,AP44,AS44,AV44,AY44,BB44,BE44,BH44,BK44,BN44,BQ44,BT44,BW44,BZ44)</f>
        <v>0.53874999999999995</v>
      </c>
      <c r="CC44" s="1230">
        <f>SUM(J44,M44,P44,S44,V44,Y44,AB44,AE44,AH44,AK44,AN44,AQ44,AT44,AW44,AZ44,BC44,BF44,BI44,BL44,BO44,BR44,BU44,BX44,CA44)</f>
        <v>-1.47115</v>
      </c>
    </row>
    <row r="45" spans="1:81" x14ac:dyDescent="0.2">
      <c r="A45" s="1612">
        <v>2</v>
      </c>
      <c r="B45" s="1699" t="s">
        <v>94</v>
      </c>
      <c r="C45" s="1700"/>
      <c r="D45" s="1701"/>
      <c r="E45" s="1655"/>
      <c r="F45" s="1656"/>
      <c r="G45" s="1657"/>
      <c r="H45" s="1658">
        <f>SQRT(I45^2+J45^2)*1000/(1.73*I23)</f>
        <v>34.295233999162612</v>
      </c>
      <c r="I45" s="1702">
        <v>0.60899999999999999</v>
      </c>
      <c r="J45" s="1703">
        <v>5.0700000000000002E-2</v>
      </c>
      <c r="K45" s="1658">
        <f>SQRT(L45^2+M45^2)*1000/(1.73*L23)</f>
        <v>34.000390170957239</v>
      </c>
      <c r="L45" s="1702">
        <v>0.60360000000000003</v>
      </c>
      <c r="M45" s="1703">
        <v>5.2200000000000003E-2</v>
      </c>
      <c r="N45" s="1658">
        <f>SQRT(O45^2+P45^2)*1000/(1.73*O23)</f>
        <v>34.997271028669623</v>
      </c>
      <c r="O45" s="1702">
        <v>0.62129999999999996</v>
      </c>
      <c r="P45" s="1703">
        <v>5.3699999999999998E-2</v>
      </c>
      <c r="Q45" s="1658">
        <f>SQRT(R45^2+S45^2)*1000/(1.73*R23)</f>
        <v>33.01387834702836</v>
      </c>
      <c r="R45" s="1702">
        <v>0.58589999999999998</v>
      </c>
      <c r="S45" s="1703">
        <v>5.28E-2</v>
      </c>
      <c r="T45" s="1658">
        <f>SQRT(U45^2+V45^2)*1000/(1.73*U23)</f>
        <v>36.040166972608077</v>
      </c>
      <c r="U45" s="1702">
        <v>0.63990000000000002</v>
      </c>
      <c r="V45" s="1703">
        <v>5.4300000000000001E-2</v>
      </c>
      <c r="W45" s="1658">
        <f>SQRT(X45^2+Y45^2)*1000/(1.73*X23)</f>
        <v>35.188662088975846</v>
      </c>
      <c r="X45" s="1702">
        <v>0.62490000000000001</v>
      </c>
      <c r="Y45" s="1703">
        <v>5.16E-2</v>
      </c>
      <c r="Z45" s="1658">
        <f>SQRT(AA45^2+AB45^2)*1000/(1.73*AA23)</f>
        <v>36.668032552893564</v>
      </c>
      <c r="AA45" s="1702">
        <v>0.65159999999999996</v>
      </c>
      <c r="AB45" s="1703">
        <v>4.8300000000000003E-2</v>
      </c>
      <c r="AC45" s="1658">
        <f>SQRT(AD45^2+AE45^2)*1000/(1.73*AD23)</f>
        <v>38.35361020811709</v>
      </c>
      <c r="AD45" s="1702">
        <v>0.68189999999999995</v>
      </c>
      <c r="AE45" s="1703">
        <v>4.5600000000000002E-2</v>
      </c>
      <c r="AF45" s="1658">
        <f>SQRT(AG45^2+AH45^2)*1000/(1.73*AG23)</f>
        <v>39.259679217587447</v>
      </c>
      <c r="AG45" s="1702">
        <v>0.69810000000000005</v>
      </c>
      <c r="AH45" s="1703">
        <v>4.53E-2</v>
      </c>
      <c r="AI45" s="1658">
        <f>SQRT(AJ45^2+AK45^2)*1000/(1.73*AJ23)</f>
        <v>40.213842365341606</v>
      </c>
      <c r="AJ45" s="1702">
        <v>0.71489999999999998</v>
      </c>
      <c r="AK45" s="1703">
        <v>4.8899999999999999E-2</v>
      </c>
      <c r="AL45" s="1658">
        <f>SQRT(AM45^2+AN45^2)*1000/(1.73*AM23)</f>
        <v>40.183730224076022</v>
      </c>
      <c r="AM45" s="1702">
        <v>0.71430000000000005</v>
      </c>
      <c r="AN45" s="1703">
        <v>4.9799999999999997E-2</v>
      </c>
      <c r="AO45" s="1658">
        <f>SQRT(AP45^2+AQ45^2)*1000/(1.73*AP23)</f>
        <v>40.483738733786033</v>
      </c>
      <c r="AP45" s="1702">
        <v>0.71970000000000001</v>
      </c>
      <c r="AQ45" s="1703">
        <v>4.9200000000000001E-2</v>
      </c>
      <c r="AR45" s="1658">
        <f>SQRT(AS45^2+AT45^2)*1000/(1.73*AS23)</f>
        <v>39.967487809694049</v>
      </c>
      <c r="AS45" s="1702">
        <v>0.7107</v>
      </c>
      <c r="AT45" s="1703">
        <v>4.5900000000000003E-2</v>
      </c>
      <c r="AU45" s="1658">
        <f>SQRT(AV45^2+AW45^2)*1000/(1.73*AV23)</f>
        <v>38.775295708692596</v>
      </c>
      <c r="AV45" s="1702">
        <v>0.68879999999999997</v>
      </c>
      <c r="AW45" s="1703">
        <v>5.4300000000000001E-2</v>
      </c>
      <c r="AX45" s="1658">
        <f>SQRT(AY45^2+AZ45^2)*1000/(1.73*AY23)</f>
        <v>40.720010297457094</v>
      </c>
      <c r="AY45" s="1702">
        <v>0.72360000000000002</v>
      </c>
      <c r="AZ45" s="1703">
        <v>5.3699999999999998E-2</v>
      </c>
      <c r="BA45" s="1658">
        <f>SQRT(BB45^2+BC45^2)*1000/(1.73*BB23)</f>
        <v>41.253644270288042</v>
      </c>
      <c r="BB45" s="1702">
        <v>0.73319999999999996</v>
      </c>
      <c r="BC45" s="1703">
        <v>5.28E-2</v>
      </c>
      <c r="BD45" s="1658">
        <f>SQRT(BE45^2+BF45^2)*1000/(1.73*BE23)</f>
        <v>41.102992707787749</v>
      </c>
      <c r="BE45" s="1702">
        <v>0.73080000000000001</v>
      </c>
      <c r="BF45" s="1703">
        <v>4.8599999999999997E-2</v>
      </c>
      <c r="BG45" s="1658">
        <f>SQRT(BH45^2+BI45^2)*1000/(1.73*BH23)</f>
        <v>40.372007580794204</v>
      </c>
      <c r="BH45" s="1702">
        <v>0.71760000000000002</v>
      </c>
      <c r="BI45" s="1703">
        <v>5.0700000000000002E-2</v>
      </c>
      <c r="BJ45" s="1658">
        <f>SQRT(BK45^2+BL45^2)*1000/(1.73*BK23)</f>
        <v>39.621202783025268</v>
      </c>
      <c r="BK45" s="1702">
        <v>0.70409999999999995</v>
      </c>
      <c r="BL45" s="1703">
        <v>5.1900000000000002E-2</v>
      </c>
      <c r="BM45" s="1658">
        <f>SQRT(BN45^2+BO45^2)*1000/(1.73*BN23)</f>
        <v>39.837033791840653</v>
      </c>
      <c r="BN45" s="1702">
        <v>0.70799999999999996</v>
      </c>
      <c r="BO45" s="1703">
        <v>5.1299999999999998E-2</v>
      </c>
      <c r="BP45" s="1658">
        <f>SQRT(BQ45^2+BR45^2)*1000/(1.73*BQ23)</f>
        <v>39.932207245675137</v>
      </c>
      <c r="BQ45" s="1702">
        <v>0.70950000000000002</v>
      </c>
      <c r="BR45" s="1703">
        <v>5.3999999999999999E-2</v>
      </c>
      <c r="BS45" s="1658">
        <f>SQRT(BT45^2+BU45^2)*1000/(1.73*BT23)</f>
        <v>39.278042260916145</v>
      </c>
      <c r="BT45" s="1702">
        <v>0.69810000000000005</v>
      </c>
      <c r="BU45" s="1703">
        <v>5.0099999999999999E-2</v>
      </c>
      <c r="BV45" s="1658">
        <f>SQRT(BW45^2+BX45^2)*1000/(1.73*BW23)</f>
        <v>38.118193573818523</v>
      </c>
      <c r="BW45" s="1702">
        <v>0.6774</v>
      </c>
      <c r="BX45" s="1703">
        <v>4.9799999999999997E-2</v>
      </c>
      <c r="BY45" s="1658">
        <f>SQRT(BZ45^2+CA45^2)*1000/(1.73*BZ23)</f>
        <v>37.006412563558627</v>
      </c>
      <c r="BZ45" s="1702">
        <v>0.6573</v>
      </c>
      <c r="CA45" s="1703">
        <v>5.28E-2</v>
      </c>
      <c r="CB45" s="1230">
        <f t="shared" ref="CB45:CC51" si="8">SUM(I45,L45,O45,R45,U45,X45,AA45,AD45,AG45,AJ45,AM45,AP45,AS45,AV45,AY45,BB45,BE45,BH45,BK45,BN45,BQ45,BT45,BW45,BZ45)</f>
        <v>16.324200000000001</v>
      </c>
      <c r="CC45" s="1230">
        <f t="shared" si="8"/>
        <v>1.2182999999999999</v>
      </c>
    </row>
    <row r="46" spans="1:81" x14ac:dyDescent="0.2">
      <c r="A46" s="1651">
        <v>3</v>
      </c>
      <c r="B46" s="1704" t="s">
        <v>390</v>
      </c>
      <c r="C46" s="1625"/>
      <c r="D46" s="1705"/>
      <c r="E46" s="1655"/>
      <c r="F46" s="1706"/>
      <c r="G46" s="1707"/>
      <c r="H46" s="1708">
        <f>SQRT(I46^2+J46^2)*1000/(1.73*I15)</f>
        <v>0</v>
      </c>
      <c r="I46" s="1709">
        <v>0</v>
      </c>
      <c r="J46" s="1710">
        <v>0</v>
      </c>
      <c r="K46" s="1708">
        <f>SQRT(L46^2+M46^2)*1000/(1.73*L15)</f>
        <v>0</v>
      </c>
      <c r="L46" s="1709">
        <v>0</v>
      </c>
      <c r="M46" s="1710">
        <v>0</v>
      </c>
      <c r="N46" s="1708">
        <f>SQRT(O46^2+P46^2)*1000/(1.73*O15)</f>
        <v>0</v>
      </c>
      <c r="O46" s="1709">
        <v>0</v>
      </c>
      <c r="P46" s="1710">
        <v>0</v>
      </c>
      <c r="Q46" s="1708">
        <f>SQRT(R46^2+S46^2)*1000/(1.73*R15)</f>
        <v>0</v>
      </c>
      <c r="R46" s="1709">
        <v>0</v>
      </c>
      <c r="S46" s="1710">
        <v>0</v>
      </c>
      <c r="T46" s="1708">
        <f>SQRT(U46^2+V46^2)*1000/(1.73*U15)</f>
        <v>0</v>
      </c>
      <c r="U46" s="1709">
        <v>0</v>
      </c>
      <c r="V46" s="1710">
        <v>0</v>
      </c>
      <c r="W46" s="1708">
        <f>SQRT(X46^2+Y46^2)*1000/(1.73*X15)</f>
        <v>0</v>
      </c>
      <c r="X46" s="1709">
        <v>0</v>
      </c>
      <c r="Y46" s="1710">
        <v>0</v>
      </c>
      <c r="Z46" s="1708">
        <f>SQRT(AA46^2+AB46^2)*1000/(1.73*AA15)</f>
        <v>0</v>
      </c>
      <c r="AA46" s="1709">
        <v>0</v>
      </c>
      <c r="AB46" s="1710">
        <v>0</v>
      </c>
      <c r="AC46" s="1708">
        <f>SQRT(AD46^2+AE46^2)*1000/(1.73*AD15)</f>
        <v>0</v>
      </c>
      <c r="AD46" s="1709">
        <v>0</v>
      </c>
      <c r="AE46" s="1710">
        <v>0</v>
      </c>
      <c r="AF46" s="1708">
        <f>SQRT(AG46^2+AH46^2)*1000/(1.73*AG15)</f>
        <v>0</v>
      </c>
      <c r="AG46" s="1709">
        <v>0</v>
      </c>
      <c r="AH46" s="1710">
        <v>0</v>
      </c>
      <c r="AI46" s="1708">
        <f>SQRT(AJ46^2+AK46^2)*1000/(1.73*AJ15)</f>
        <v>0</v>
      </c>
      <c r="AJ46" s="1709">
        <v>0</v>
      </c>
      <c r="AK46" s="1710">
        <v>0</v>
      </c>
      <c r="AL46" s="1708">
        <f>SQRT(AM46^2+AN46^2)*1000/(1.73*AM15)</f>
        <v>0</v>
      </c>
      <c r="AM46" s="1709">
        <v>0</v>
      </c>
      <c r="AN46" s="1710">
        <v>0</v>
      </c>
      <c r="AO46" s="1708">
        <f>SQRT(AP46^2+AQ46^2)*1000/(1.73*AP15)</f>
        <v>0</v>
      </c>
      <c r="AP46" s="1709">
        <v>0</v>
      </c>
      <c r="AQ46" s="1710">
        <v>0</v>
      </c>
      <c r="AR46" s="1708">
        <f>SQRT(AS46^2+AT46^2)*1000/(1.73*AS15)</f>
        <v>0</v>
      </c>
      <c r="AS46" s="1709">
        <v>0</v>
      </c>
      <c r="AT46" s="1710">
        <v>0</v>
      </c>
      <c r="AU46" s="1708">
        <f>SQRT(AV46^2+AW46^2)*1000/(1.73*AV15)</f>
        <v>0</v>
      </c>
      <c r="AV46" s="1709">
        <v>0</v>
      </c>
      <c r="AW46" s="1710">
        <v>0</v>
      </c>
      <c r="AX46" s="1708">
        <f>SQRT(AY46^2+AZ46^2)*1000/(1.73*AY15)</f>
        <v>0</v>
      </c>
      <c r="AY46" s="1709">
        <v>0</v>
      </c>
      <c r="AZ46" s="1710">
        <v>0</v>
      </c>
      <c r="BA46" s="1708">
        <f>SQRT(BB46^2+BC46^2)*1000/(1.73*BB15)</f>
        <v>0</v>
      </c>
      <c r="BB46" s="1709">
        <v>0</v>
      </c>
      <c r="BC46" s="1710">
        <v>0</v>
      </c>
      <c r="BD46" s="1708">
        <f>SQRT(BE46^2+BF46^2)*1000/(1.73*BE15)</f>
        <v>0</v>
      </c>
      <c r="BE46" s="1709">
        <v>0</v>
      </c>
      <c r="BF46" s="1710">
        <v>0</v>
      </c>
      <c r="BG46" s="1708">
        <f>SQRT(BH46^2+BI46^2)*1000/(1.73*BH15)</f>
        <v>0</v>
      </c>
      <c r="BH46" s="1709">
        <v>0</v>
      </c>
      <c r="BI46" s="1710">
        <v>0</v>
      </c>
      <c r="BJ46" s="1708">
        <f>SQRT(BK46^2+BL46^2)*1000/(1.73*BK15)</f>
        <v>0</v>
      </c>
      <c r="BK46" s="1709">
        <v>0</v>
      </c>
      <c r="BL46" s="1710">
        <v>0</v>
      </c>
      <c r="BM46" s="1708">
        <f>SQRT(BN46^2+BO46^2)*1000/(1.73*BN15)</f>
        <v>0</v>
      </c>
      <c r="BN46" s="1709">
        <v>0</v>
      </c>
      <c r="BO46" s="1710">
        <v>0</v>
      </c>
      <c r="BP46" s="1708">
        <f>SQRT(BQ46^2+BR46^2)*1000/(1.73*BQ15)</f>
        <v>0</v>
      </c>
      <c r="BQ46" s="1709">
        <v>0</v>
      </c>
      <c r="BR46" s="1710">
        <v>0</v>
      </c>
      <c r="BS46" s="1708">
        <f>SQRT(BT46^2+BU46^2)*1000/(1.73*BT15)</f>
        <v>0</v>
      </c>
      <c r="BT46" s="1709">
        <v>0</v>
      </c>
      <c r="BU46" s="1710">
        <v>0</v>
      </c>
      <c r="BV46" s="1708">
        <f>SQRT(BW46^2+BX46^2)*1000/(1.73*BW15)</f>
        <v>0</v>
      </c>
      <c r="BW46" s="1709">
        <v>0</v>
      </c>
      <c r="BX46" s="1710">
        <v>0</v>
      </c>
      <c r="BY46" s="1708">
        <f>SQRT(BZ46^2+CA46^2)*1000/(1.73*BZ15)</f>
        <v>0</v>
      </c>
      <c r="BZ46" s="1709">
        <v>0</v>
      </c>
      <c r="CA46" s="1710">
        <v>0</v>
      </c>
      <c r="CB46" s="1230">
        <f t="shared" si="8"/>
        <v>0</v>
      </c>
      <c r="CC46" s="1230">
        <f t="shared" si="8"/>
        <v>0</v>
      </c>
    </row>
    <row r="47" spans="1:81" x14ac:dyDescent="0.2">
      <c r="A47" s="1711">
        <v>4</v>
      </c>
      <c r="B47" s="1704" t="s">
        <v>391</v>
      </c>
      <c r="C47" s="1712"/>
      <c r="D47" s="1705"/>
      <c r="E47" s="1655"/>
      <c r="F47" s="1706"/>
      <c r="G47" s="1707"/>
      <c r="H47" s="1713">
        <f>SQRT(I47^2+J47^2)*1000/(1.73*I23)</f>
        <v>2.2964516330481937</v>
      </c>
      <c r="I47" s="1714">
        <v>1.315E-2</v>
      </c>
      <c r="J47" s="1715">
        <v>-3.875E-2</v>
      </c>
      <c r="K47" s="1713">
        <f>SQRT(L47^2+M47^2)*1000/(1.73*L23)</f>
        <v>2.3053248346012643</v>
      </c>
      <c r="L47" s="1714">
        <v>1.32E-2</v>
      </c>
      <c r="M47" s="1715">
        <v>-3.8899999999999997E-2</v>
      </c>
      <c r="N47" s="1713">
        <f>SQRT(O47^2+P47^2)*1000/(1.73*O23)</f>
        <v>2.3070830936766411</v>
      </c>
      <c r="O47" s="1714">
        <v>1.315E-2</v>
      </c>
      <c r="P47" s="1715">
        <v>-3.8949999999999999E-2</v>
      </c>
      <c r="Q47" s="1713">
        <f>SQRT(R47^2+S47^2)*1000/(1.73*R23)</f>
        <v>2.3106398964203727</v>
      </c>
      <c r="R47" s="1714">
        <v>1.32E-2</v>
      </c>
      <c r="S47" s="1715">
        <v>-3.9E-2</v>
      </c>
      <c r="T47" s="1713">
        <f>SQRT(U47^2+V47^2)*1000/(1.73*U23)</f>
        <v>2.3070830936766411</v>
      </c>
      <c r="U47" s="1714">
        <v>1.315E-2</v>
      </c>
      <c r="V47" s="1715">
        <v>-3.8949999999999999E-2</v>
      </c>
      <c r="W47" s="1713">
        <f>SQRT(X47^2+Y47^2)*1000/(1.73*X23)</f>
        <v>2.3070830936766411</v>
      </c>
      <c r="X47" s="1714">
        <v>1.315E-2</v>
      </c>
      <c r="Y47" s="1715">
        <v>-3.8949999999999999E-2</v>
      </c>
      <c r="Z47" s="1713">
        <f>SQRT(AA47^2+AB47^2)*1000/(1.73*AA23)</f>
        <v>2.2937946500025843</v>
      </c>
      <c r="AA47" s="1714">
        <v>1.315E-2</v>
      </c>
      <c r="AB47" s="1715">
        <v>-3.8699999999999998E-2</v>
      </c>
      <c r="AC47" s="1713">
        <f>SQRT(AD47^2+AE47^2)*1000/(1.73*AD23)</f>
        <v>2.2849214690845181</v>
      </c>
      <c r="AD47" s="1714">
        <v>1.3100000000000001E-2</v>
      </c>
      <c r="AE47" s="1715">
        <v>-3.8550000000000001E-2</v>
      </c>
      <c r="AF47" s="1713">
        <f>SQRT(AG47^2+AH47^2)*1000/(1.73*AG23)</f>
        <v>2.2760482893357401</v>
      </c>
      <c r="AG47" s="1714">
        <v>1.3050000000000001E-2</v>
      </c>
      <c r="AH47" s="1715">
        <v>-3.8399999999999997E-2</v>
      </c>
      <c r="AI47" s="1713">
        <f>SQRT(AJ47^2+AK47^2)*1000/(1.73*AJ23)</f>
        <v>2.2733917038733704</v>
      </c>
      <c r="AJ47" s="1714">
        <v>1.3050000000000001E-2</v>
      </c>
      <c r="AK47" s="1715">
        <v>-3.8350000000000002E-2</v>
      </c>
      <c r="AL47" s="1713">
        <f>SQRT(AM47^2+AN47^2)*1000/(1.73*AM23)</f>
        <v>2.2698320344559368</v>
      </c>
      <c r="AM47" s="1714">
        <v>1.2999999999999999E-2</v>
      </c>
      <c r="AN47" s="1715">
        <v>-3.8300000000000001E-2</v>
      </c>
      <c r="AO47" s="1713">
        <f>SQRT(AP47^2+AQ47^2)*1000/(1.73*AP23)</f>
        <v>2.2733917038733704</v>
      </c>
      <c r="AP47" s="1714">
        <v>1.3050000000000001E-2</v>
      </c>
      <c r="AQ47" s="1715">
        <v>-3.8350000000000002E-2</v>
      </c>
      <c r="AR47" s="1713">
        <f>SQRT(AS47^2+AT47^2)*1000/(1.73*AS23)</f>
        <v>2.2760482893357401</v>
      </c>
      <c r="AS47" s="1714">
        <v>1.3050000000000001E-2</v>
      </c>
      <c r="AT47" s="1715">
        <v>-3.8399999999999997E-2</v>
      </c>
      <c r="AU47" s="1713">
        <f>SQRT(AV47^2+AW47^2)*1000/(1.73*AV23)</f>
        <v>2.2769527241992829</v>
      </c>
      <c r="AV47" s="1714">
        <v>1.3100000000000001E-2</v>
      </c>
      <c r="AW47" s="1715">
        <v>-3.8399999999999997E-2</v>
      </c>
      <c r="AX47" s="1713">
        <f>SQRT(AY47^2+AZ47^2)*1000/(1.73*AY23)</f>
        <v>2.2928934245467887</v>
      </c>
      <c r="AY47" s="1714">
        <v>1.3100000000000001E-2</v>
      </c>
      <c r="AZ47" s="1715">
        <v>-3.8699999999999998E-2</v>
      </c>
      <c r="BA47" s="1713">
        <f>SQRT(BB47^2+BC47^2)*1000/(1.73*BB23)</f>
        <v>2.2911380222569391</v>
      </c>
      <c r="BB47" s="1714">
        <v>1.315E-2</v>
      </c>
      <c r="BC47" s="1715">
        <v>-3.8649999999999997E-2</v>
      </c>
      <c r="BD47" s="1713">
        <f>SQRT(BE47^2+BF47^2)*1000/(1.73*BE23)</f>
        <v>2.2928934245467887</v>
      </c>
      <c r="BE47" s="1714">
        <v>1.3100000000000001E-2</v>
      </c>
      <c r="BF47" s="1715">
        <v>-3.8699999999999998E-2</v>
      </c>
      <c r="BG47" s="1713">
        <f>SQRT(BH47^2+BI47^2)*1000/(1.73*BH23)</f>
        <v>2.2911380222569391</v>
      </c>
      <c r="BH47" s="1714">
        <v>1.315E-2</v>
      </c>
      <c r="BI47" s="1715">
        <v>-3.8649999999999997E-2</v>
      </c>
      <c r="BJ47" s="1713">
        <f>SQRT(BK47^2+BL47^2)*1000/(1.73*BK23)</f>
        <v>2.2937946500025843</v>
      </c>
      <c r="BK47" s="1714">
        <v>1.315E-2</v>
      </c>
      <c r="BL47" s="1715">
        <v>-3.8699999999999998E-2</v>
      </c>
      <c r="BM47" s="1713">
        <f>SQRT(BN47^2+BO47^2)*1000/(1.73*BN23)</f>
        <v>2.2937946500025843</v>
      </c>
      <c r="BN47" s="1714">
        <v>1.315E-2</v>
      </c>
      <c r="BO47" s="1715">
        <v>-3.8699999999999998E-2</v>
      </c>
      <c r="BP47" s="1713">
        <f>SQRT(BQ47^2+BR47^2)*1000/(1.73*BQ23)</f>
        <v>2.2964516330481937</v>
      </c>
      <c r="BQ47" s="1714">
        <v>1.315E-2</v>
      </c>
      <c r="BR47" s="1715">
        <v>-3.875E-2</v>
      </c>
      <c r="BS47" s="1713">
        <f>SQRT(BT47^2+BU47^2)*1000/(1.73*BT23)</f>
        <v>2.2991089701619498</v>
      </c>
      <c r="BT47" s="1714">
        <v>1.315E-2</v>
      </c>
      <c r="BU47" s="1715">
        <v>-3.8800000000000001E-2</v>
      </c>
      <c r="BV47" s="1713">
        <f>SQRT(BW47^2+BX47^2)*1000/(1.73*BW23)</f>
        <v>2.2964516330481937</v>
      </c>
      <c r="BW47" s="1714">
        <v>1.315E-2</v>
      </c>
      <c r="BX47" s="1715">
        <v>-3.875E-2</v>
      </c>
      <c r="BY47" s="1713">
        <f>SQRT(BZ47^2+CA47^2)*1000/(1.73*BZ23)</f>
        <v>2.3017666601175635</v>
      </c>
      <c r="BZ47" s="1714">
        <v>1.315E-2</v>
      </c>
      <c r="CA47" s="1715">
        <v>-3.8850000000000003E-2</v>
      </c>
      <c r="CB47" s="1230">
        <f t="shared" si="8"/>
        <v>0.31495000000000001</v>
      </c>
      <c r="CC47" s="1230">
        <f t="shared" si="8"/>
        <v>-0.92819999999999958</v>
      </c>
    </row>
    <row r="48" spans="1:81" x14ac:dyDescent="0.2">
      <c r="A48" s="1716">
        <v>5</v>
      </c>
      <c r="B48" s="1704" t="s">
        <v>392</v>
      </c>
      <c r="C48" s="1712"/>
      <c r="D48" s="1705"/>
      <c r="E48" s="1655"/>
      <c r="F48" s="1706"/>
      <c r="G48" s="1707"/>
      <c r="H48" s="1713">
        <f>SQRT(I48^2+J48^2)*1000/(1.73*I23)</f>
        <v>86.099064896311461</v>
      </c>
      <c r="I48" s="1714">
        <v>1.5339</v>
      </c>
      <c r="J48" s="1715">
        <v>3.0300000000000001E-2</v>
      </c>
      <c r="K48" s="1713">
        <f>SQRT(L48^2+M48^2)*1000/(1.73*L23)</f>
        <v>85.480514494477745</v>
      </c>
      <c r="L48" s="1714">
        <v>1.5227999999999999</v>
      </c>
      <c r="M48" s="1715">
        <v>3.39E-2</v>
      </c>
      <c r="N48" s="1713">
        <f>SQRT(O48^2+P48^2)*1000/(1.73*O23)</f>
        <v>85.482429437473442</v>
      </c>
      <c r="O48" s="1714">
        <v>1.5227999999999999</v>
      </c>
      <c r="P48" s="1715">
        <v>3.5400000000000001E-2</v>
      </c>
      <c r="Q48" s="1713">
        <f>SQRT(R48^2+S48^2)*1000/(1.73*R23)</f>
        <v>85.127425162007071</v>
      </c>
      <c r="R48" s="1714">
        <v>1.5165</v>
      </c>
      <c r="S48" s="1715">
        <v>3.4200000000000001E-2</v>
      </c>
      <c r="T48" s="1713">
        <f>SQRT(U48^2+V48^2)*1000/(1.73*U23)</f>
        <v>84.909770149774047</v>
      </c>
      <c r="U48" s="1714">
        <v>1.5125999999999999</v>
      </c>
      <c r="V48" s="1715">
        <v>3.5099999999999999E-2</v>
      </c>
      <c r="W48" s="1713">
        <f>SQRT(X48^2+Y48^2)*1000/(1.73*X23)</f>
        <v>86.55455467335689</v>
      </c>
      <c r="X48" s="1714">
        <v>1.542</v>
      </c>
      <c r="Y48" s="1715">
        <v>3.1199999999999999E-2</v>
      </c>
      <c r="Z48" s="1713">
        <f>SQRT(AA48^2+AB48^2)*1000/(1.73*AA23)</f>
        <v>87.427253663233572</v>
      </c>
      <c r="AA48" s="1714">
        <v>1.5576000000000001</v>
      </c>
      <c r="AB48" s="1715">
        <v>2.8799999999999999E-2</v>
      </c>
      <c r="AC48" s="1713">
        <f>SQRT(AD48^2+AE48^2)*1000/(1.73*AD23)</f>
        <v>86.680974757241302</v>
      </c>
      <c r="AD48" s="1714">
        <v>1.5444</v>
      </c>
      <c r="AE48" s="1715">
        <v>2.2800000000000001E-2</v>
      </c>
      <c r="AF48" s="1713">
        <f>SQRT(AG48^2+AH48^2)*1000/(1.73*AG23)</f>
        <v>84.522563885721695</v>
      </c>
      <c r="AG48" s="1714">
        <v>1.506</v>
      </c>
      <c r="AH48" s="1715">
        <v>1.7999999999999999E-2</v>
      </c>
      <c r="AI48" s="1713">
        <f>SQRT(AJ48^2+AK48^2)*1000/(1.73*AJ23)</f>
        <v>84.434645412274605</v>
      </c>
      <c r="AJ48" s="1714">
        <v>1.5044999999999999</v>
      </c>
      <c r="AK48" s="1715">
        <v>1.11E-2</v>
      </c>
      <c r="AL48" s="1713">
        <f>SQRT(AM48^2+AN48^2)*1000/(1.73*AM23)</f>
        <v>83.5593266916365</v>
      </c>
      <c r="AM48" s="1714">
        <v>1.4888999999999999</v>
      </c>
      <c r="AN48" s="1715">
        <v>1.14E-2</v>
      </c>
      <c r="AO48" s="1713">
        <f>SQRT(AP48^2+AQ48^2)*1000/(1.73*AP23)</f>
        <v>83.895909397069531</v>
      </c>
      <c r="AP48" s="1714">
        <v>1.4948999999999999</v>
      </c>
      <c r="AQ48" s="1715">
        <v>1.11E-2</v>
      </c>
      <c r="AR48" s="1713">
        <f>SQRT(AS48^2+AT48^2)*1000/(1.73*AS23)</f>
        <v>84.772303449409975</v>
      </c>
      <c r="AS48" s="1714">
        <v>1.5105</v>
      </c>
      <c r="AT48" s="1715">
        <v>1.32E-2</v>
      </c>
      <c r="AU48" s="1713">
        <f>SQRT(AV48^2+AW48^2)*1000/(1.73*AV23)</f>
        <v>84.822383343296664</v>
      </c>
      <c r="AV48" s="1714">
        <v>1.5114000000000001</v>
      </c>
      <c r="AW48" s="1715">
        <v>1.23E-2</v>
      </c>
      <c r="AX48" s="1713">
        <f>SQRT(AY48^2+AZ48^2)*1000/(1.73*AY23)</f>
        <v>85.145856438952549</v>
      </c>
      <c r="AY48" s="1714">
        <v>1.5170999999999999</v>
      </c>
      <c r="AZ48" s="1715">
        <v>1.8599999999999998E-2</v>
      </c>
      <c r="BA48" s="1713">
        <f>SQRT(BB48^2+BC48^2)*1000/(1.73*BB23)</f>
        <v>86.311913116507199</v>
      </c>
      <c r="BB48" s="1714">
        <v>1.5378000000000001</v>
      </c>
      <c r="BC48" s="1715">
        <v>2.4299999999999999E-2</v>
      </c>
      <c r="BD48" s="1713">
        <f>SQRT(BE48^2+BF48^2)*1000/(1.73*BE23)</f>
        <v>88.519049724964404</v>
      </c>
      <c r="BE48" s="1714">
        <v>1.5770999999999999</v>
      </c>
      <c r="BF48" s="1715">
        <v>2.64E-2</v>
      </c>
      <c r="BG48" s="1713">
        <f>SQRT(BH48^2+BI48^2)*1000/(1.73*BH23)</f>
        <v>86.79761355163339</v>
      </c>
      <c r="BH48" s="1714">
        <v>1.5465</v>
      </c>
      <c r="BI48" s="1715">
        <v>2.1299999999999999E-2</v>
      </c>
      <c r="BJ48" s="1713">
        <f>SQRT(BK48^2+BL48^2)*1000/(1.73*BK23)</f>
        <v>88.936513417014467</v>
      </c>
      <c r="BK48" s="1714">
        <v>1.5846</v>
      </c>
      <c r="BL48" s="1715">
        <v>2.2499999999999999E-2</v>
      </c>
      <c r="BM48" s="1713">
        <f>SQRT(BN48^2+BO48^2)*1000/(1.73*BN23)</f>
        <v>88.785005061064894</v>
      </c>
      <c r="BN48" s="1714">
        <v>1.5819000000000001</v>
      </c>
      <c r="BO48" s="1715">
        <v>2.2499999999999999E-2</v>
      </c>
      <c r="BP48" s="1713">
        <f>SQRT(BQ48^2+BR48^2)*1000/(1.73*BQ23)</f>
        <v>89.039008875074529</v>
      </c>
      <c r="BQ48" s="1714">
        <v>1.5864</v>
      </c>
      <c r="BR48" s="1715">
        <v>2.4299999999999999E-2</v>
      </c>
      <c r="BS48" s="1713">
        <f>SQRT(BT48^2+BU48^2)*1000/(1.73*BT23)</f>
        <v>88.163128171496112</v>
      </c>
      <c r="BT48" s="1714">
        <v>1.5708</v>
      </c>
      <c r="BU48" s="1715">
        <v>2.3699999999999999E-2</v>
      </c>
      <c r="BV48" s="1713">
        <f>SQRT(BW48^2+BX48^2)*1000/(1.73*BW23)</f>
        <v>87.525585344393392</v>
      </c>
      <c r="BW48" s="1714">
        <v>1.5593999999999999</v>
      </c>
      <c r="BX48" s="1715">
        <v>2.6100000000000002E-2</v>
      </c>
      <c r="BY48" s="1713">
        <f>SQRT(BZ48^2+CA48^2)*1000/(1.73*BZ23)</f>
        <v>87.396863237349521</v>
      </c>
      <c r="BZ48" s="1714">
        <v>1.5569999999999999</v>
      </c>
      <c r="CA48" s="1715">
        <v>3.1800000000000002E-2</v>
      </c>
      <c r="CB48" s="1230">
        <f t="shared" si="8"/>
        <v>36.887400000000007</v>
      </c>
      <c r="CC48" s="1230">
        <f t="shared" si="8"/>
        <v>0.57030000000000003</v>
      </c>
    </row>
    <row r="49" spans="1:81" x14ac:dyDescent="0.2">
      <c r="A49" s="1716">
        <v>6</v>
      </c>
      <c r="B49" s="1704" t="s">
        <v>393</v>
      </c>
      <c r="C49" s="1712"/>
      <c r="D49" s="1705"/>
      <c r="E49" s="1655"/>
      <c r="F49" s="1706"/>
      <c r="G49" s="1707"/>
      <c r="H49" s="1713">
        <f>SQRT(I49^2+J49^2)*1000/(1.73*I15)</f>
        <v>37.078525172267582</v>
      </c>
      <c r="I49" s="1714">
        <v>0.65880000000000005</v>
      </c>
      <c r="J49" s="1715">
        <v>5.0099999999999999E-2</v>
      </c>
      <c r="K49" s="1713">
        <f>SQRT(L49^2+M49^2)*1000/(1.73*L15)</f>
        <v>35.900891010954979</v>
      </c>
      <c r="L49" s="1714">
        <v>0.63780000000000003</v>
      </c>
      <c r="M49" s="1715">
        <v>4.9500000000000002E-2</v>
      </c>
      <c r="N49" s="1713">
        <f>SQRT(O49^2+P49^2)*1000/(1.73*O15)</f>
        <v>36.30504826199175</v>
      </c>
      <c r="O49" s="1714">
        <v>0.64500000000000002</v>
      </c>
      <c r="P49" s="1715">
        <v>4.9799999999999997E-2</v>
      </c>
      <c r="Q49" s="1713">
        <f>SQRT(R49^2+S49^2)*1000/(1.73*R15)</f>
        <v>36.019153899442742</v>
      </c>
      <c r="R49" s="1714">
        <v>0.63959999999999995</v>
      </c>
      <c r="S49" s="1715">
        <v>5.3400000000000003E-2</v>
      </c>
      <c r="T49" s="1713">
        <f>SQRT(U49^2+V49^2)*1000/(1.73*U15)</f>
        <v>36.476815569160109</v>
      </c>
      <c r="U49" s="1714">
        <v>0.64800000000000002</v>
      </c>
      <c r="V49" s="1715">
        <v>5.0700000000000002E-2</v>
      </c>
      <c r="W49" s="1713">
        <f>SQRT(X49^2+Y49^2)*1000/(1.73*X15)</f>
        <v>36.638224551783694</v>
      </c>
      <c r="X49" s="1714">
        <v>0.65100000000000002</v>
      </c>
      <c r="Y49" s="1715">
        <v>4.9200000000000001E-2</v>
      </c>
      <c r="Z49" s="1713">
        <f>SQRT(AA49^2+AB49^2)*1000/(1.73*AA15)</f>
        <v>36.817907722906099</v>
      </c>
      <c r="AA49" s="1714">
        <v>0.65429999999999999</v>
      </c>
      <c r="AB49" s="1715">
        <v>4.8000000000000001E-2</v>
      </c>
      <c r="AC49" s="1713">
        <f>SQRT(AD49^2+AE49^2)*1000/(1.73*AD15)</f>
        <v>35.235258416414077</v>
      </c>
      <c r="AD49" s="1714">
        <v>0.62670000000000003</v>
      </c>
      <c r="AE49" s="1715">
        <v>3.8100000000000002E-2</v>
      </c>
      <c r="AF49" s="1713">
        <f>SQRT(AG49^2+AH49^2)*1000/(1.73*AG15)</f>
        <v>35.508444017376455</v>
      </c>
      <c r="AG49" s="1714">
        <v>0.63180000000000003</v>
      </c>
      <c r="AH49" s="1715">
        <v>3.4200000000000001E-2</v>
      </c>
      <c r="AI49" s="1713">
        <f>SQRT(AJ49^2+AK49^2)*1000/(1.73*AJ15)</f>
        <v>36.069695158605427</v>
      </c>
      <c r="AJ49" s="1714">
        <v>0.64170000000000005</v>
      </c>
      <c r="AK49" s="1715">
        <v>3.6299999999999999E-2</v>
      </c>
      <c r="AL49" s="1713">
        <f>SQRT(AM49^2+AN49^2)*1000/(1.73*AM15)</f>
        <v>35.482363277060642</v>
      </c>
      <c r="AM49" s="1714">
        <v>0.63119999999999998</v>
      </c>
      <c r="AN49" s="1715">
        <v>3.6600000000000001E-2</v>
      </c>
      <c r="AO49" s="1713">
        <f>SQRT(AP49^2+AQ49^2)*1000/(1.73*AP15)</f>
        <v>35.203126147940104</v>
      </c>
      <c r="AP49" s="1714">
        <v>0.62639999999999996</v>
      </c>
      <c r="AQ49" s="1715">
        <v>3.3300000000000003E-2</v>
      </c>
      <c r="AR49" s="1713">
        <f>SQRT(AS49^2+AT49^2)*1000/(1.73*AS15)</f>
        <v>35.509358012985132</v>
      </c>
      <c r="AS49" s="1714">
        <v>0.63180000000000003</v>
      </c>
      <c r="AT49" s="1715">
        <v>3.4500000000000003E-2</v>
      </c>
      <c r="AU49" s="1713">
        <f>SQRT(AV49^2+AW49^2)*1000/(1.73*AV15)</f>
        <v>34.668127153510675</v>
      </c>
      <c r="AV49" s="1714">
        <v>0.61650000000000005</v>
      </c>
      <c r="AW49" s="1715">
        <v>3.9300000000000002E-2</v>
      </c>
      <c r="AX49" s="1713">
        <f>SQRT(AY49^2+AZ49^2)*1000/(1.73*AY15)</f>
        <v>35.501195079254138</v>
      </c>
      <c r="AY49" s="1714">
        <v>0.63119999999999998</v>
      </c>
      <c r="AZ49" s="1715">
        <v>4.2000000000000003E-2</v>
      </c>
      <c r="BA49" s="1713">
        <f>SQRT(BB49^2+BC49^2)*1000/(1.73*BB15)</f>
        <v>35.682683728695885</v>
      </c>
      <c r="BB49" s="1714">
        <v>0.63449999999999995</v>
      </c>
      <c r="BC49" s="1715">
        <v>4.1099999999999998E-2</v>
      </c>
      <c r="BD49" s="1713">
        <f>SQRT(BE49^2+BF49^2)*1000/(1.73*BE15)</f>
        <v>36.986197523762925</v>
      </c>
      <c r="BE49" s="1714">
        <v>0.65759999999999996</v>
      </c>
      <c r="BF49" s="1715">
        <v>4.3799999999999999E-2</v>
      </c>
      <c r="BG49" s="1713">
        <f>SQRT(BH49^2+BI49^2)*1000/(1.73*BH15)</f>
        <v>36.906102199316422</v>
      </c>
      <c r="BH49" s="1714">
        <v>0.65639999999999998</v>
      </c>
      <c r="BI49" s="1715">
        <v>4.02E-2</v>
      </c>
      <c r="BJ49" s="1713">
        <f>SQRT(BK49^2+BL49^2)*1000/(1.73*BK15)</f>
        <v>38.293390064778883</v>
      </c>
      <c r="BK49" s="1714">
        <v>0.68100000000000005</v>
      </c>
      <c r="BL49" s="1715">
        <v>4.2900000000000001E-2</v>
      </c>
      <c r="BM49" s="1713">
        <f>SQRT(BN49^2+BO49^2)*1000/(1.73*BN15)</f>
        <v>38.472323694278998</v>
      </c>
      <c r="BN49" s="1714">
        <v>0.68400000000000005</v>
      </c>
      <c r="BO49" s="1715">
        <v>4.5900000000000003E-2</v>
      </c>
      <c r="BP49" s="1713">
        <f>SQRT(BQ49^2+BR49^2)*1000/(1.73*BQ15)</f>
        <v>38.919332356697588</v>
      </c>
      <c r="BQ49" s="1714">
        <v>0.69210000000000005</v>
      </c>
      <c r="BR49" s="1715">
        <v>4.41E-2</v>
      </c>
      <c r="BS49" s="1713">
        <f>SQRT(BT49^2+BU49^2)*1000/(1.73*BT15)</f>
        <v>37.290815067708877</v>
      </c>
      <c r="BT49" s="1714">
        <v>0.66300000000000003</v>
      </c>
      <c r="BU49" s="1715">
        <v>4.4400000000000002E-2</v>
      </c>
      <c r="BV49" s="1713">
        <f>SQRT(BW49^2+BX49^2)*1000/(1.73*BW15)</f>
        <v>38.350827610949565</v>
      </c>
      <c r="BW49" s="1714">
        <v>0.68159999999999998</v>
      </c>
      <c r="BX49" s="1715">
        <v>4.9200000000000001E-2</v>
      </c>
      <c r="BY49" s="1713">
        <f>SQRT(BZ49^2+CA49^2)*1000/(1.73*BZ15)</f>
        <v>37.265285780827895</v>
      </c>
      <c r="BZ49" s="1714">
        <v>0.66239999999999999</v>
      </c>
      <c r="CA49" s="1715">
        <v>4.65E-2</v>
      </c>
      <c r="CB49" s="1230">
        <f t="shared" si="8"/>
        <v>15.584399999999999</v>
      </c>
      <c r="CC49" s="1230">
        <f t="shared" si="8"/>
        <v>1.0431000000000004</v>
      </c>
    </row>
    <row r="50" spans="1:81" x14ac:dyDescent="0.2">
      <c r="A50" s="1612">
        <v>7</v>
      </c>
      <c r="B50" s="1662" t="s">
        <v>100</v>
      </c>
      <c r="C50" s="1700"/>
      <c r="D50" s="1701"/>
      <c r="E50" s="1655"/>
      <c r="F50" s="1656"/>
      <c r="G50" s="1657"/>
      <c r="H50" s="1713">
        <f>SQRT(I50^2+J50^2)*1000/(1.73*I15)</f>
        <v>1.0484491787639809</v>
      </c>
      <c r="I50" s="1714">
        <v>1.8432E-2</v>
      </c>
      <c r="J50" s="1715">
        <v>3.0479999999999999E-3</v>
      </c>
      <c r="K50" s="1713">
        <f>SQRT(L50^2+M50^2)*1000/(1.73*L15)</f>
        <v>1.0515486628707347</v>
      </c>
      <c r="L50" s="1714">
        <v>1.848E-2</v>
      </c>
      <c r="M50" s="1715">
        <v>3.0959999999999998E-3</v>
      </c>
      <c r="N50" s="1713">
        <f>SQRT(O50^2+P50^2)*1000/(1.73*O15)</f>
        <v>1.0767958854365007</v>
      </c>
      <c r="O50" s="1714">
        <v>1.8936000000000001E-2</v>
      </c>
      <c r="P50" s="1715">
        <v>3.0959999999999998E-3</v>
      </c>
      <c r="Q50" s="1713">
        <f>SQRT(R50^2+S50^2)*1000/(1.73*R15)</f>
        <v>1.0794544287155068</v>
      </c>
      <c r="R50" s="1714">
        <v>1.8984000000000001E-2</v>
      </c>
      <c r="S50" s="1715">
        <v>3.0959999999999998E-3</v>
      </c>
      <c r="T50" s="1713">
        <f>SQRT(U50^2+V50^2)*1000/(1.73*U15)</f>
        <v>1.0794544287155068</v>
      </c>
      <c r="U50" s="1714">
        <v>1.8984000000000001E-2</v>
      </c>
      <c r="V50" s="1715">
        <v>3.0959999999999998E-3</v>
      </c>
      <c r="W50" s="1713">
        <f>SQRT(X50^2+Y50^2)*1000/(1.73*X15)</f>
        <v>1.1111604058229714</v>
      </c>
      <c r="X50" s="1714">
        <v>1.9560000000000001E-2</v>
      </c>
      <c r="Y50" s="1715">
        <v>3.0720000000000001E-3</v>
      </c>
      <c r="Z50" s="1713">
        <f>SQRT(AA50^2+AB50^2)*1000/(1.73*AA15)</f>
        <v>1.1136139396363636</v>
      </c>
      <c r="AA50" s="1714">
        <v>1.9608E-2</v>
      </c>
      <c r="AB50" s="1715">
        <v>3.0479999999999999E-3</v>
      </c>
      <c r="AC50" s="1713">
        <f>SQRT(AD50^2+AE50^2)*1000/(1.73*AD15)</f>
        <v>1.1640172982360084</v>
      </c>
      <c r="AD50" s="1714">
        <v>2.052E-2</v>
      </c>
      <c r="AE50" s="1715">
        <v>3.0240000000000002E-3</v>
      </c>
      <c r="AF50" s="1713">
        <f>SQRT(AG50^2+AH50^2)*1000/(1.73*AG15)</f>
        <v>1.1345101835212783</v>
      </c>
      <c r="AG50" s="1714">
        <v>1.9991999999999999E-2</v>
      </c>
      <c r="AH50" s="1715">
        <v>3.0000000000000001E-3</v>
      </c>
      <c r="AI50" s="1713">
        <f>SQRT(AJ50^2+AK50^2)*1000/(1.73*AJ15)</f>
        <v>1.2022957091987112</v>
      </c>
      <c r="AJ50" s="1714">
        <v>2.1215999999999999E-2</v>
      </c>
      <c r="AK50" s="1715">
        <v>2.9759999999999999E-3</v>
      </c>
      <c r="AL50" s="1713">
        <f>SQRT(AM50^2+AN50^2)*1000/(1.73*AM15)</f>
        <v>1.2036295424208641</v>
      </c>
      <c r="AM50" s="1714">
        <v>2.1239999999999998E-2</v>
      </c>
      <c r="AN50" s="1715">
        <v>2.9759999999999999E-3</v>
      </c>
      <c r="AO50" s="1713">
        <f>SQRT(AP50^2+AQ50^2)*1000/(1.73*AP15)</f>
        <v>1.1689596002182379</v>
      </c>
      <c r="AP50" s="1714">
        <v>2.0615999999999999E-2</v>
      </c>
      <c r="AQ50" s="1715">
        <v>2.9759999999999999E-3</v>
      </c>
      <c r="AR50" s="1713">
        <f>SQRT(AS50^2+AT50^2)*1000/(1.73*AS15)</f>
        <v>1.176958522723444</v>
      </c>
      <c r="AS50" s="1714">
        <v>2.0760000000000001E-2</v>
      </c>
      <c r="AT50" s="1715">
        <v>2.9759999999999999E-3</v>
      </c>
      <c r="AU50" s="1713">
        <f>SQRT(AV50^2+AW50^2)*1000/(1.73*AV15)</f>
        <v>1.1834358491539585</v>
      </c>
      <c r="AV50" s="1714">
        <v>2.0879999999999999E-2</v>
      </c>
      <c r="AW50" s="1715">
        <v>2.9520000000000002E-3</v>
      </c>
      <c r="AX50" s="1713">
        <f>SQRT(AY50^2+AZ50^2)*1000/(1.73*AY15)</f>
        <v>1.2106738006566258</v>
      </c>
      <c r="AY50" s="1714">
        <v>2.1360000000000001E-2</v>
      </c>
      <c r="AZ50" s="1715">
        <v>3.0240000000000002E-3</v>
      </c>
      <c r="BA50" s="1713">
        <f>SQRT(BB50^2+BC50^2)*1000/(1.73*BB15)</f>
        <v>1.1760109961264444</v>
      </c>
      <c r="BB50" s="1714">
        <v>2.0736000000000001E-2</v>
      </c>
      <c r="BC50" s="1715">
        <v>3.0240000000000002E-3</v>
      </c>
      <c r="BD50" s="1713">
        <f>SQRT(BE50^2+BF50^2)*1000/(1.73*BE15)</f>
        <v>1.1851491468780149</v>
      </c>
      <c r="BE50" s="1714">
        <v>2.0903999999999999E-2</v>
      </c>
      <c r="BF50" s="1715">
        <v>3.0000000000000001E-3</v>
      </c>
      <c r="BG50" s="1713">
        <f>SQRT(BH50^2+BI50^2)*1000/(1.73*BH15)</f>
        <v>1.161352393540303</v>
      </c>
      <c r="BH50" s="1714">
        <v>2.0472000000000001E-2</v>
      </c>
      <c r="BI50" s="1715">
        <v>3.0240000000000002E-3</v>
      </c>
      <c r="BJ50" s="1713">
        <f>SQRT(BK50^2+BL50^2)*1000/(1.73*BK15)</f>
        <v>1.1693475042404979</v>
      </c>
      <c r="BK50" s="1714">
        <v>2.0615999999999999E-2</v>
      </c>
      <c r="BL50" s="1715">
        <v>3.0240000000000002E-3</v>
      </c>
      <c r="BM50" s="1713">
        <f>SQRT(BN50^2+BO50^2)*1000/(1.73*BN15)</f>
        <v>1.1626848292679153</v>
      </c>
      <c r="BN50" s="1714">
        <v>2.0496E-2</v>
      </c>
      <c r="BO50" s="1715">
        <v>3.0240000000000002E-3</v>
      </c>
      <c r="BP50" s="1713">
        <f>SQRT(BQ50^2+BR50^2)*1000/(1.73*BQ15)</f>
        <v>1.1546907175368659</v>
      </c>
      <c r="BQ50" s="1714">
        <v>2.0351999999999999E-2</v>
      </c>
      <c r="BR50" s="1715">
        <v>3.0240000000000002E-3</v>
      </c>
      <c r="BS50" s="1713">
        <f>SQRT(BT50^2+BU50^2)*1000/(1.73*BT15)</f>
        <v>1.1682113577040862</v>
      </c>
      <c r="BT50" s="1714">
        <v>2.0591999999999999E-2</v>
      </c>
      <c r="BU50" s="1715">
        <v>3.0479999999999999E-3</v>
      </c>
      <c r="BV50" s="1713">
        <f>SQRT(BW50^2+BX50^2)*1000/(1.73*BW15)</f>
        <v>1.1640172982360084</v>
      </c>
      <c r="BW50" s="1714">
        <v>2.052E-2</v>
      </c>
      <c r="BX50" s="1715">
        <v>3.0240000000000002E-3</v>
      </c>
      <c r="BY50" s="1713">
        <f>SQRT(BZ50^2+CA50^2)*1000/(1.73*BZ15)</f>
        <v>1.2455407799462985</v>
      </c>
      <c r="BZ50" s="1714">
        <v>2.1984E-2</v>
      </c>
      <c r="CA50" s="1715">
        <v>3.0479999999999999E-3</v>
      </c>
      <c r="CB50" s="1230">
        <f t="shared" si="8"/>
        <v>0.48623999999999995</v>
      </c>
      <c r="CC50" s="1230">
        <f t="shared" si="8"/>
        <v>7.2695999999999983E-2</v>
      </c>
    </row>
    <row r="51" spans="1:81" ht="13.5" thickBot="1" x14ac:dyDescent="0.25">
      <c r="A51" s="1663">
        <v>8</v>
      </c>
      <c r="B51" s="1664" t="s">
        <v>101</v>
      </c>
      <c r="C51" s="1677"/>
      <c r="D51" s="1717"/>
      <c r="E51" s="1667"/>
      <c r="F51" s="1668"/>
      <c r="G51" s="1669"/>
      <c r="H51" s="1670">
        <f>SQRT(I51^2+J51^2)*1000/(1.73*I23)</f>
        <v>1.2706411536526093E-2</v>
      </c>
      <c r="I51" s="1718">
        <v>-1.2E-4</v>
      </c>
      <c r="J51" s="1719">
        <v>1.92E-4</v>
      </c>
      <c r="K51" s="1670">
        <f>SQRT(L51^2+M51^2)*1000/(1.73*L23)</f>
        <v>1.0257509093705245E-2</v>
      </c>
      <c r="L51" s="1718">
        <v>-7.2000000000000002E-5</v>
      </c>
      <c r="M51" s="1719">
        <v>1.6799999999999999E-4</v>
      </c>
      <c r="N51" s="1670">
        <f>SQRT(O51^2+P51^2)*1000/(1.73*O23)</f>
        <v>1.1507721526888195E-2</v>
      </c>
      <c r="O51" s="1718">
        <v>-7.2000000000000002E-5</v>
      </c>
      <c r="P51" s="1719">
        <v>1.92E-4</v>
      </c>
      <c r="Q51" s="1670">
        <f>SQRT(R51^2+S51^2)*1000/(1.73*R23)</f>
        <v>1.158627343897093E-2</v>
      </c>
      <c r="R51" s="1718">
        <v>-1.2E-4</v>
      </c>
      <c r="S51" s="1719">
        <v>1.6799999999999999E-4</v>
      </c>
      <c r="T51" s="1670">
        <f>SQRT(U51^2+V51^2)*1000/(1.73*U23)</f>
        <v>1.4233221035270173E-2</v>
      </c>
      <c r="U51" s="1718">
        <v>-1.9000000000000001E-4</v>
      </c>
      <c r="V51" s="1719">
        <v>1.6799999999999999E-4</v>
      </c>
      <c r="W51" s="1670">
        <f>SQRT(X51^2+Y51^2)*1000/(1.73*X23)</f>
        <v>1.2272685949008716E-2</v>
      </c>
      <c r="X51" s="1718">
        <v>-1.3999999999999999E-4</v>
      </c>
      <c r="Y51" s="1719">
        <v>1.6799999999999999E-4</v>
      </c>
      <c r="Z51" s="1670">
        <f>SQRT(AA51^2+AB51^2)*1000/(1.73*AA23)</f>
        <v>1.3335290860568286E-2</v>
      </c>
      <c r="AA51" s="1718">
        <v>-1.3999999999999999E-4</v>
      </c>
      <c r="AB51" s="1719">
        <v>1.92E-4</v>
      </c>
      <c r="AC51" s="1670">
        <f>SQRT(AD51^2+AE51^2)*1000/(1.73*AD23)</f>
        <v>1.737215997660551E-2</v>
      </c>
      <c r="AD51" s="1718">
        <v>-2.5999999999999998E-4</v>
      </c>
      <c r="AE51" s="1719">
        <v>1.6799999999999999E-4</v>
      </c>
      <c r="AF51" s="1670">
        <f>SQRT(AG51^2+AH51^2)*1000/(1.73*AG23)</f>
        <v>1.2272685949008716E-2</v>
      </c>
      <c r="AG51" s="1718">
        <v>-1.3999999999999999E-4</v>
      </c>
      <c r="AH51" s="1719">
        <v>1.6799999999999999E-4</v>
      </c>
      <c r="AI51" s="1670">
        <f>SQRT(AJ51^2+AK51^2)*1000/(1.73*AJ23)</f>
        <v>2.120380772741998E-2</v>
      </c>
      <c r="AJ51" s="1718">
        <v>-3.1E-4</v>
      </c>
      <c r="AK51" s="1719">
        <v>2.1599999999999999E-4</v>
      </c>
      <c r="AL51" s="1670">
        <f>SQRT(AM51^2+AN51^2)*1000/(1.73*AM23)</f>
        <v>1.2503023864362776E-2</v>
      </c>
      <c r="AM51" s="1718">
        <v>-1.7000000000000001E-4</v>
      </c>
      <c r="AN51" s="1719">
        <v>1.44E-4</v>
      </c>
      <c r="AO51" s="1670">
        <f>SQRT(AP51^2+AQ51^2)*1000/(1.73*AP23)</f>
        <v>1.0519445099150329E-2</v>
      </c>
      <c r="AP51" s="1718">
        <v>-1.2E-4</v>
      </c>
      <c r="AQ51" s="1719">
        <v>1.44E-4</v>
      </c>
      <c r="AR51" s="1670">
        <f>SQRT(AS51^2+AT51^2)*1000/(1.73*AS23)</f>
        <v>1.6679596375338612E-2</v>
      </c>
      <c r="AS51" s="1718">
        <v>-2.5999999999999998E-4</v>
      </c>
      <c r="AT51" s="1719">
        <v>1.44E-4</v>
      </c>
      <c r="AU51" s="1670">
        <f>SQRT(AV51^2+AW51^2)*1000/(1.73*AV23)</f>
        <v>1.158627343897093E-2</v>
      </c>
      <c r="AV51" s="1718">
        <v>-1.2E-4</v>
      </c>
      <c r="AW51" s="1719">
        <v>1.6799999999999999E-4</v>
      </c>
      <c r="AX51" s="1670">
        <f>SQRT(AY51^2+AZ51^2)*1000/(1.73*AY23)</f>
        <v>1.6440728142859243E-2</v>
      </c>
      <c r="AY51" s="1718">
        <v>-2.4000000000000001E-4</v>
      </c>
      <c r="AZ51" s="1719">
        <v>1.6799999999999999E-4</v>
      </c>
      <c r="BA51" s="1670">
        <f>SQRT(BB51^2+BC51^2)*1000/(1.73*BB23)</f>
        <v>1.158627343897093E-2</v>
      </c>
      <c r="BB51" s="1718">
        <v>-1.2E-4</v>
      </c>
      <c r="BC51" s="1719">
        <v>1.6799999999999999E-4</v>
      </c>
      <c r="BD51" s="1670">
        <f>SQRT(BE51^2+BF51^2)*1000/(1.73*BE23)</f>
        <v>1.4233221035270173E-2</v>
      </c>
      <c r="BE51" s="1718">
        <v>-1.9000000000000001E-4</v>
      </c>
      <c r="BF51" s="1719">
        <v>1.6799999999999999E-4</v>
      </c>
      <c r="BG51" s="1670">
        <f>SQRT(BH51^2+BI51^2)*1000/(1.73*BH23)</f>
        <v>1.5159015237534972E-2</v>
      </c>
      <c r="BH51" s="1718">
        <v>-1.9000000000000001E-4</v>
      </c>
      <c r="BI51" s="1719">
        <v>1.92E-4</v>
      </c>
      <c r="BJ51" s="1670">
        <f>SQRT(BK51^2+BL51^2)*1000/(1.73*BK23)</f>
        <v>1.158627343897093E-2</v>
      </c>
      <c r="BK51" s="1718">
        <v>-1.2E-4</v>
      </c>
      <c r="BL51" s="1719">
        <v>1.6799999999999999E-4</v>
      </c>
      <c r="BM51" s="1670">
        <f>SQRT(BN51^2+BO51^2)*1000/(1.73*BN23)</f>
        <v>1.5534564477733612E-2</v>
      </c>
      <c r="BN51" s="1718">
        <v>-2.2000000000000001E-4</v>
      </c>
      <c r="BO51" s="1719">
        <v>1.6799999999999999E-4</v>
      </c>
      <c r="BP51" s="1670">
        <f>SQRT(BQ51^2+BR51^2)*1000/(1.73*BQ23)</f>
        <v>1.2706411536526093E-2</v>
      </c>
      <c r="BQ51" s="1718">
        <v>-1.2E-4</v>
      </c>
      <c r="BR51" s="1719">
        <v>1.92E-4</v>
      </c>
      <c r="BS51" s="1670">
        <f>SQRT(BT51^2+BU51^2)*1000/(1.73*BT23)</f>
        <v>1.158627343897093E-2</v>
      </c>
      <c r="BT51" s="1718">
        <v>-1.2E-4</v>
      </c>
      <c r="BU51" s="1719">
        <v>1.6799999999999999E-4</v>
      </c>
      <c r="BV51" s="1670">
        <f>SQRT(BW51^2+BX51^2)*1000/(1.73*BW23)</f>
        <v>1.5534564477733612E-2</v>
      </c>
      <c r="BW51" s="1718">
        <v>-2.2000000000000001E-4</v>
      </c>
      <c r="BX51" s="1719">
        <v>1.6799999999999999E-4</v>
      </c>
      <c r="BY51" s="1670">
        <f>SQRT(BZ51^2+CA51^2)*1000/(1.73*BZ23)</f>
        <v>1.0858868957807126E-2</v>
      </c>
      <c r="BZ51" s="1718">
        <v>-9.6000000000000002E-5</v>
      </c>
      <c r="CA51" s="1719">
        <v>1.6799999999999999E-4</v>
      </c>
      <c r="CB51" s="1230">
        <f t="shared" si="8"/>
        <v>-3.8700000000000002E-3</v>
      </c>
      <c r="CC51" s="1230">
        <f t="shared" si="8"/>
        <v>4.1280000000000006E-3</v>
      </c>
    </row>
    <row r="52" spans="1:81" x14ac:dyDescent="0.2">
      <c r="A52" s="1256" t="s">
        <v>102</v>
      </c>
      <c r="B52" s="1671"/>
      <c r="C52" s="1672"/>
      <c r="D52" s="1720"/>
      <c r="E52" s="1721"/>
      <c r="F52" s="1720"/>
      <c r="G52" s="1722"/>
      <c r="H52" s="1551">
        <f>H46+H44+H48+H50</f>
        <v>90.764182947954538</v>
      </c>
      <c r="I52" s="1552">
        <f t="shared" ref="I52:J53" si="9">I46+I44+I48+I50</f>
        <v>1.5714319999999999</v>
      </c>
      <c r="J52" s="1553">
        <f t="shared" si="9"/>
        <v>-2.8202000000000001E-2</v>
      </c>
      <c r="K52" s="1551">
        <f>K46+K44+K48+K50</f>
        <v>90.168324488797495</v>
      </c>
      <c r="L52" s="1552">
        <f t="shared" ref="L52:M53" si="10">L46+L44+L48+L50</f>
        <v>1.56043</v>
      </c>
      <c r="M52" s="1553">
        <f t="shared" si="10"/>
        <v>-2.4903999999999996E-2</v>
      </c>
      <c r="N52" s="1551">
        <f>N46+N44+N48+N50</f>
        <v>90.195304764530434</v>
      </c>
      <c r="O52" s="1552">
        <f t="shared" ref="O52:P53" si="11">O46+O44+O48+O50</f>
        <v>1.5610360000000001</v>
      </c>
      <c r="P52" s="1553">
        <f t="shared" si="11"/>
        <v>-2.3354E-2</v>
      </c>
      <c r="Q52" s="1551">
        <f>Q46+Q44+Q48+Q50</f>
        <v>89.841117968376338</v>
      </c>
      <c r="R52" s="1552">
        <f t="shared" ref="R52:S53" si="12">R46+R44+R48+R50</f>
        <v>1.554834</v>
      </c>
      <c r="S52" s="1553">
        <f t="shared" si="12"/>
        <v>-2.4503999999999998E-2</v>
      </c>
      <c r="T52" s="1551">
        <f>T46+T44+T48+T50</f>
        <v>89.63250769710892</v>
      </c>
      <c r="U52" s="1552">
        <f t="shared" ref="U52:V53" si="13">U46+U44+U48+U50</f>
        <v>1.550834</v>
      </c>
      <c r="V52" s="1553">
        <f t="shared" si="13"/>
        <v>-2.3803999999999999E-2</v>
      </c>
      <c r="W52" s="1551">
        <f>W46+W44+W48+W50</f>
        <v>91.319780317811976</v>
      </c>
      <c r="X52" s="1552">
        <f t="shared" ref="X52:Y53" si="14">X46+X44+X48+X50</f>
        <v>1.5819100000000001</v>
      </c>
      <c r="Y52" s="1553">
        <f t="shared" si="14"/>
        <v>-2.7578000000000005E-2</v>
      </c>
      <c r="Z52" s="1551">
        <f>Z46+Z44+Z48+Z50</f>
        <v>92.20877245461017</v>
      </c>
      <c r="AA52" s="1552">
        <f t="shared" ref="AA52:AB53" si="15">AA46+AA44+AA48+AA50</f>
        <v>1.5996080000000001</v>
      </c>
      <c r="AB52" s="1553">
        <f t="shared" si="15"/>
        <v>-2.9552000000000005E-2</v>
      </c>
      <c r="AC52" s="1551">
        <f>AC46+AC44+AC48+AC50</f>
        <v>91.491816621744888</v>
      </c>
      <c r="AD52" s="1552">
        <f t="shared" ref="AD52:AE53" si="16">AD46+AD44+AD48+AD50</f>
        <v>1.5873200000000001</v>
      </c>
      <c r="AE52" s="1553">
        <f t="shared" si="16"/>
        <v>-3.5175999999999999E-2</v>
      </c>
      <c r="AF52" s="1551">
        <f>AF46+AF44+AF48+AF50</f>
        <v>89.315019031831483</v>
      </c>
      <c r="AG52" s="1552">
        <f t="shared" ref="AG52:AH53" si="17">AG46+AG44+AG48+AG50</f>
        <v>1.549742</v>
      </c>
      <c r="AH52" s="1553">
        <f t="shared" si="17"/>
        <v>-3.9699999999999999E-2</v>
      </c>
      <c r="AI52" s="1551">
        <f>AI46+AI44+AI48+AI50</f>
        <v>89.277778102910247</v>
      </c>
      <c r="AJ52" s="1552">
        <f t="shared" ref="AJ52:AK53" si="18">AJ46+AJ44+AJ48+AJ50</f>
        <v>1.5476659999999998</v>
      </c>
      <c r="AK52" s="1553">
        <f t="shared" si="18"/>
        <v>-4.6974000000000002E-2</v>
      </c>
      <c r="AL52" s="1551">
        <f>AL46+AL44+AL48+AL50</f>
        <v>88.408115808861211</v>
      </c>
      <c r="AM52" s="1552">
        <f t="shared" ref="AM52:AN53" si="19">AM46+AM44+AM48+AM50</f>
        <v>1.5325899999999999</v>
      </c>
      <c r="AN52" s="1553">
        <f t="shared" si="19"/>
        <v>-4.6573999999999997E-2</v>
      </c>
      <c r="AO52" s="1551">
        <f>AO46+AO44+AO48+AO50</f>
        <v>88.778513278469106</v>
      </c>
      <c r="AP52" s="1552">
        <f t="shared" ref="AP52:AQ53" si="20">AP46+AP44+AP48+AP50</f>
        <v>1.5411659999999998</v>
      </c>
      <c r="AQ52" s="1553">
        <f t="shared" si="20"/>
        <v>-4.6924E-2</v>
      </c>
      <c r="AR52" s="1551">
        <f>AR46+AR44+AR48+AR50</f>
        <v>89.638887490065414</v>
      </c>
      <c r="AS52" s="1552">
        <f t="shared" ref="AS52:AT53" si="21">AS46+AS44+AS48+AS50</f>
        <v>1.55566</v>
      </c>
      <c r="AT52" s="1553">
        <f t="shared" si="21"/>
        <v>-4.4874000000000004E-2</v>
      </c>
      <c r="AU52" s="1551">
        <f>AU46+AU44+AU48+AU50</f>
        <v>89.704327394331202</v>
      </c>
      <c r="AV52" s="1552">
        <f t="shared" ref="AV52:AW53" si="22">AV46+AV44+AV48+AV50</f>
        <v>1.55698</v>
      </c>
      <c r="AW52" s="1553">
        <f t="shared" si="22"/>
        <v>-4.5848E-2</v>
      </c>
      <c r="AX52" s="1551">
        <f>AX46+AX44+AX48+AX50</f>
        <v>90.090678378210441</v>
      </c>
      <c r="AY52" s="1552">
        <f t="shared" ref="AY52:AZ53" si="23">AY46+AY44+AY48+AY50</f>
        <v>1.56386</v>
      </c>
      <c r="AZ52" s="1553">
        <f t="shared" si="23"/>
        <v>-3.9876000000000002E-2</v>
      </c>
      <c r="BA52" s="1551">
        <f>BA46+BA44+BA48+BA50</f>
        <v>91.186432314514235</v>
      </c>
      <c r="BB52" s="1552">
        <f t="shared" ref="BB52:BC53" si="24">BB46+BB44+BB48+BB50</f>
        <v>1.5832360000000001</v>
      </c>
      <c r="BC52" s="1553">
        <f t="shared" si="24"/>
        <v>-3.3776E-2</v>
      </c>
      <c r="BD52" s="1551">
        <f>BD46+BD44+BD48+BD50</f>
        <v>93.405988317782729</v>
      </c>
      <c r="BE52" s="1552">
        <f t="shared" ref="BE52:BF53" si="25">BE46+BE44+BE48+BE50</f>
        <v>1.6231039999999999</v>
      </c>
      <c r="BF52" s="1553">
        <f t="shared" si="25"/>
        <v>-3.1599999999999996E-2</v>
      </c>
      <c r="BG52" s="1551">
        <f>BG46+BG44+BG48+BG50</f>
        <v>91.608170064614683</v>
      </c>
      <c r="BH52" s="1552">
        <f t="shared" ref="BH52:BI53" si="26">BH46+BH44+BH48+BH50</f>
        <v>1.5892220000000001</v>
      </c>
      <c r="BI52" s="1553">
        <f t="shared" si="26"/>
        <v>-3.6776000000000003E-2</v>
      </c>
      <c r="BJ52" s="1551">
        <f>BJ46+BJ44+BJ48+BJ50</f>
        <v>93.749084608377601</v>
      </c>
      <c r="BK52" s="1552">
        <f t="shared" ref="BK52:BL53" si="27">BK46+BK44+BK48+BK50</f>
        <v>1.6275660000000001</v>
      </c>
      <c r="BL52" s="1553">
        <f t="shared" si="27"/>
        <v>-3.5425999999999999E-2</v>
      </c>
      <c r="BM52" s="1551">
        <f>BM46+BM44+BM48+BM50</f>
        <v>93.610873431379588</v>
      </c>
      <c r="BN52" s="1552">
        <f t="shared" ref="BN52:BO53" si="28">BN46+BN44+BN48+BN50</f>
        <v>1.6250960000000001</v>
      </c>
      <c r="BO52" s="1553">
        <f t="shared" si="28"/>
        <v>-3.5675999999999999E-2</v>
      </c>
      <c r="BP52" s="1551">
        <f>BP46+BP44+BP48+BP50</f>
        <v>93.861171874794408</v>
      </c>
      <c r="BQ52" s="1552">
        <f t="shared" ref="BQ52:BR53" si="29">BQ46+BQ44+BQ48+BQ50</f>
        <v>1.629402</v>
      </c>
      <c r="BR52" s="1553">
        <f t="shared" si="29"/>
        <v>-3.3976000000000006E-2</v>
      </c>
      <c r="BS52" s="1551">
        <f>BS46+BS44+BS48+BS50</f>
        <v>93.001751850022558</v>
      </c>
      <c r="BT52" s="1552">
        <f t="shared" ref="BT52:BU53" si="30">BT46+BT44+BT48+BT50</f>
        <v>1.6145919999999998</v>
      </c>
      <c r="BU52" s="1553">
        <f t="shared" si="30"/>
        <v>-3.4402000000000002E-2</v>
      </c>
      <c r="BV52" s="1551">
        <f>BV46+BV44+BV48+BV50</f>
        <v>92.363634199212697</v>
      </c>
      <c r="BW52" s="1552">
        <f t="shared" ref="BW52:BX53" si="31">BW46+BW44+BW48+BW50</f>
        <v>1.60317</v>
      </c>
      <c r="BX52" s="1553">
        <f t="shared" si="31"/>
        <v>-3.2075999999999993E-2</v>
      </c>
      <c r="BY52" s="1551">
        <f>BY46+BY44+BY48+BY50</f>
        <v>92.323630218579495</v>
      </c>
      <c r="BZ52" s="1552">
        <f t="shared" ref="BZ52:CA53" si="32">BZ46+BZ44+BZ48+BZ50</f>
        <v>1.601934</v>
      </c>
      <c r="CA52" s="1553">
        <f t="shared" si="32"/>
        <v>-2.6601999999999997E-2</v>
      </c>
    </row>
    <row r="53" spans="1:81" ht="13.5" thickBot="1" x14ac:dyDescent="0.25">
      <c r="A53" s="1723" t="s">
        <v>103</v>
      </c>
      <c r="B53" s="1615"/>
      <c r="C53" s="1724"/>
      <c r="D53" s="1725"/>
      <c r="E53" s="1726"/>
      <c r="F53" s="1727"/>
      <c r="G53" s="1681"/>
      <c r="H53" s="1561">
        <f>H47+H45+H49+H51</f>
        <v>73.682917216014914</v>
      </c>
      <c r="I53" s="1562">
        <f t="shared" si="9"/>
        <v>1.2808300000000001</v>
      </c>
      <c r="J53" s="1563">
        <f t="shared" si="9"/>
        <v>6.2241999999999999E-2</v>
      </c>
      <c r="K53" s="1561">
        <f>K47+K45+K49+K51</f>
        <v>72.216863525607195</v>
      </c>
      <c r="L53" s="1562">
        <f t="shared" si="10"/>
        <v>1.2545279999999999</v>
      </c>
      <c r="M53" s="1563">
        <f t="shared" si="10"/>
        <v>6.296800000000001E-2</v>
      </c>
      <c r="N53" s="1561">
        <f>N47+N45+N49+N51</f>
        <v>73.620910105864894</v>
      </c>
      <c r="O53" s="1562">
        <f t="shared" si="11"/>
        <v>1.2793779999999999</v>
      </c>
      <c r="P53" s="1563">
        <f t="shared" si="11"/>
        <v>6.4741999999999994E-2</v>
      </c>
      <c r="Q53" s="1561">
        <f>Q47+Q45+Q49+Q51</f>
        <v>71.355258416330443</v>
      </c>
      <c r="R53" s="1562">
        <f t="shared" si="12"/>
        <v>1.23858</v>
      </c>
      <c r="S53" s="1563">
        <f t="shared" si="12"/>
        <v>6.7368000000000011E-2</v>
      </c>
      <c r="T53" s="1561">
        <f>T47+T45+T49+T51</f>
        <v>74.838298856480094</v>
      </c>
      <c r="U53" s="1562">
        <f t="shared" si="13"/>
        <v>1.3008600000000001</v>
      </c>
      <c r="V53" s="1563">
        <f t="shared" si="13"/>
        <v>6.6217999999999999E-2</v>
      </c>
      <c r="W53" s="1561">
        <f>W47+W45+W49+W51</f>
        <v>74.146242420385192</v>
      </c>
      <c r="X53" s="1562">
        <f t="shared" si="14"/>
        <v>1.28891</v>
      </c>
      <c r="Y53" s="1563">
        <f t="shared" si="14"/>
        <v>6.2018000000000004E-2</v>
      </c>
      <c r="Z53" s="1561">
        <f>Z47+Z45+Z49+Z51</f>
        <v>75.793070216662812</v>
      </c>
      <c r="AA53" s="1562">
        <f t="shared" si="15"/>
        <v>1.3189099999999998</v>
      </c>
      <c r="AB53" s="1563">
        <f t="shared" si="15"/>
        <v>5.7792000000000003E-2</v>
      </c>
      <c r="AC53" s="1561">
        <f>AC47+AC45+AC49+AC51</f>
        <v>75.891162253592285</v>
      </c>
      <c r="AD53" s="1562">
        <f t="shared" si="16"/>
        <v>1.3214399999999999</v>
      </c>
      <c r="AE53" s="1563">
        <f t="shared" si="16"/>
        <v>4.5318000000000004E-2</v>
      </c>
      <c r="AF53" s="1561">
        <f>AF47+AF45+AF49+AF51</f>
        <v>77.056444210248657</v>
      </c>
      <c r="AG53" s="1562">
        <f t="shared" si="17"/>
        <v>1.3428100000000001</v>
      </c>
      <c r="AH53" s="1563">
        <f t="shared" si="17"/>
        <v>4.1268000000000006E-2</v>
      </c>
      <c r="AI53" s="1561">
        <f>AI47+AI45+AI49+AI51</f>
        <v>78.578133035547822</v>
      </c>
      <c r="AJ53" s="1562">
        <f t="shared" si="18"/>
        <v>1.36934</v>
      </c>
      <c r="AK53" s="1563">
        <f t="shared" si="18"/>
        <v>4.7065999999999997E-2</v>
      </c>
      <c r="AL53" s="1561">
        <f>AL47+AL45+AL49+AL51</f>
        <v>77.948428559456971</v>
      </c>
      <c r="AM53" s="1562">
        <f t="shared" si="19"/>
        <v>1.35833</v>
      </c>
      <c r="AN53" s="1563">
        <f t="shared" si="19"/>
        <v>4.8243999999999995E-2</v>
      </c>
      <c r="AO53" s="1561">
        <f>AO47+AO45+AO49+AO51</f>
        <v>77.970776030698659</v>
      </c>
      <c r="AP53" s="1562">
        <f t="shared" si="20"/>
        <v>1.3590300000000002</v>
      </c>
      <c r="AQ53" s="1563">
        <f t="shared" si="20"/>
        <v>4.4294E-2</v>
      </c>
      <c r="AR53" s="1561">
        <f>AR47+AR45+AR49+AR51</f>
        <v>77.769573708390269</v>
      </c>
      <c r="AS53" s="1562">
        <f t="shared" si="21"/>
        <v>1.3552900000000001</v>
      </c>
      <c r="AT53" s="1563">
        <f t="shared" si="21"/>
        <v>4.2144000000000008E-2</v>
      </c>
      <c r="AU53" s="1561">
        <f>AU47+AU45+AU49+AU51</f>
        <v>75.731961859841519</v>
      </c>
      <c r="AV53" s="1562">
        <f t="shared" si="22"/>
        <v>1.3182800000000001</v>
      </c>
      <c r="AW53" s="1563">
        <f t="shared" si="22"/>
        <v>5.5368000000000007E-2</v>
      </c>
      <c r="AX53" s="1561">
        <f>AX47+AX45+AX49+AX51</f>
        <v>78.530539529400883</v>
      </c>
      <c r="AY53" s="1562">
        <f t="shared" si="23"/>
        <v>1.3676600000000001</v>
      </c>
      <c r="AZ53" s="1563">
        <f t="shared" si="23"/>
        <v>5.7168000000000004E-2</v>
      </c>
      <c r="BA53" s="1561">
        <f>BA47+BA45+BA49+BA51</f>
        <v>79.239052294679837</v>
      </c>
      <c r="BB53" s="1562">
        <f t="shared" si="24"/>
        <v>1.38073</v>
      </c>
      <c r="BC53" s="1563">
        <f t="shared" si="24"/>
        <v>5.5418000000000002E-2</v>
      </c>
      <c r="BD53" s="1561">
        <f>BD47+BD45+BD49+BD51</f>
        <v>80.396316877132733</v>
      </c>
      <c r="BE53" s="1562">
        <f t="shared" si="25"/>
        <v>1.4013100000000001</v>
      </c>
      <c r="BF53" s="1563">
        <f t="shared" si="25"/>
        <v>5.3867999999999999E-2</v>
      </c>
      <c r="BG53" s="1561">
        <f>BG47+BG45+BG49+BG51</f>
        <v>79.584406817605085</v>
      </c>
      <c r="BH53" s="1562">
        <f t="shared" si="26"/>
        <v>1.3869600000000002</v>
      </c>
      <c r="BI53" s="1563">
        <f t="shared" si="26"/>
        <v>5.2442000000000003E-2</v>
      </c>
      <c r="BJ53" s="1561">
        <f>BJ47+BJ45+BJ49+BJ51</f>
        <v>80.219973771245705</v>
      </c>
      <c r="BK53" s="1562">
        <f t="shared" si="27"/>
        <v>1.3981300000000001</v>
      </c>
      <c r="BL53" s="1563">
        <f t="shared" si="27"/>
        <v>5.6268000000000006E-2</v>
      </c>
      <c r="BM53" s="1561">
        <f>BM47+BM45+BM49+BM51</f>
        <v>80.618686700599966</v>
      </c>
      <c r="BN53" s="1562">
        <f t="shared" si="28"/>
        <v>1.4049299999999998</v>
      </c>
      <c r="BO53" s="1563">
        <f t="shared" si="28"/>
        <v>5.8668000000000005E-2</v>
      </c>
      <c r="BP53" s="1561">
        <f>BP47+BP45+BP49+BP51</f>
        <v>81.160697646957445</v>
      </c>
      <c r="BQ53" s="1562">
        <f t="shared" si="29"/>
        <v>1.4146300000000003</v>
      </c>
      <c r="BR53" s="1563">
        <f t="shared" si="29"/>
        <v>5.9541999999999998E-2</v>
      </c>
      <c r="BS53" s="1561">
        <f>BS47+BS45+BS49+BS51</f>
        <v>78.879552572225933</v>
      </c>
      <c r="BT53" s="1562">
        <f t="shared" si="30"/>
        <v>1.3741300000000001</v>
      </c>
      <c r="BU53" s="1563">
        <f t="shared" si="30"/>
        <v>5.5868000000000001E-2</v>
      </c>
      <c r="BV53" s="1561">
        <f>BV47+BV45+BV49+BV51</f>
        <v>78.781007382294021</v>
      </c>
      <c r="BW53" s="1562">
        <f t="shared" si="31"/>
        <v>1.3719299999999999</v>
      </c>
      <c r="BX53" s="1563">
        <f t="shared" si="31"/>
        <v>6.0417999999999999E-2</v>
      </c>
      <c r="BY53" s="1561">
        <f>BY47+BY45+BY49+BY51</f>
        <v>76.584323873461898</v>
      </c>
      <c r="BZ53" s="1562">
        <f t="shared" si="32"/>
        <v>1.332754</v>
      </c>
      <c r="CA53" s="1563">
        <f t="shared" si="32"/>
        <v>6.0617999999999998E-2</v>
      </c>
    </row>
    <row r="54" spans="1:81" ht="13.5" thickBot="1" x14ac:dyDescent="0.25">
      <c r="A54" s="1277" t="s">
        <v>104</v>
      </c>
      <c r="B54" s="1618"/>
      <c r="C54" s="1682"/>
      <c r="D54" s="1683"/>
      <c r="E54" s="1684"/>
      <c r="F54" s="1683"/>
      <c r="G54" s="1685"/>
      <c r="H54" s="1686">
        <f t="shared" ref="H54:BS54" si="33">H52+H53</f>
        <v>164.44710016396945</v>
      </c>
      <c r="I54" s="1687">
        <f t="shared" si="33"/>
        <v>2.8522620000000001</v>
      </c>
      <c r="J54" s="1688">
        <f t="shared" si="33"/>
        <v>3.4040000000000001E-2</v>
      </c>
      <c r="K54" s="1686">
        <f t="shared" si="33"/>
        <v>162.38518801440469</v>
      </c>
      <c r="L54" s="1687">
        <f t="shared" si="33"/>
        <v>2.8149579999999998</v>
      </c>
      <c r="M54" s="1688">
        <f t="shared" si="33"/>
        <v>3.8064000000000014E-2</v>
      </c>
      <c r="N54" s="1686">
        <f t="shared" si="33"/>
        <v>163.81621487039533</v>
      </c>
      <c r="O54" s="1687">
        <f t="shared" si="33"/>
        <v>2.840414</v>
      </c>
      <c r="P54" s="1688">
        <f t="shared" si="33"/>
        <v>4.1387999999999994E-2</v>
      </c>
      <c r="Q54" s="1686">
        <f t="shared" si="33"/>
        <v>161.19637638470678</v>
      </c>
      <c r="R54" s="1687">
        <f t="shared" si="33"/>
        <v>2.7934140000000003</v>
      </c>
      <c r="S54" s="1688">
        <f t="shared" si="33"/>
        <v>4.2864000000000013E-2</v>
      </c>
      <c r="T54" s="1686">
        <f t="shared" si="33"/>
        <v>164.470806553589</v>
      </c>
      <c r="U54" s="1687">
        <f t="shared" si="33"/>
        <v>2.8516940000000002</v>
      </c>
      <c r="V54" s="1688">
        <f t="shared" si="33"/>
        <v>4.2414E-2</v>
      </c>
      <c r="W54" s="1686">
        <f t="shared" si="33"/>
        <v>165.46602273819718</v>
      </c>
      <c r="X54" s="1687">
        <f t="shared" si="33"/>
        <v>2.8708200000000001</v>
      </c>
      <c r="Y54" s="1688">
        <f t="shared" si="33"/>
        <v>3.4439999999999998E-2</v>
      </c>
      <c r="Z54" s="1686">
        <f t="shared" si="33"/>
        <v>168.00184267127298</v>
      </c>
      <c r="AA54" s="1687">
        <f t="shared" si="33"/>
        <v>2.9185179999999997</v>
      </c>
      <c r="AB54" s="1688">
        <f t="shared" si="33"/>
        <v>2.8239999999999998E-2</v>
      </c>
      <c r="AC54" s="1686">
        <f t="shared" si="33"/>
        <v>167.38297887533719</v>
      </c>
      <c r="AD54" s="1687">
        <f t="shared" si="33"/>
        <v>2.90876</v>
      </c>
      <c r="AE54" s="1688">
        <f t="shared" si="33"/>
        <v>1.0142000000000005E-2</v>
      </c>
      <c r="AF54" s="1686">
        <f t="shared" si="33"/>
        <v>166.37146324208015</v>
      </c>
      <c r="AG54" s="1687">
        <f t="shared" si="33"/>
        <v>2.8925520000000002</v>
      </c>
      <c r="AH54" s="1688">
        <f t="shared" si="33"/>
        <v>1.5680000000000069E-3</v>
      </c>
      <c r="AI54" s="1686">
        <f t="shared" si="33"/>
        <v>167.85591113845805</v>
      </c>
      <c r="AJ54" s="1687">
        <f t="shared" si="33"/>
        <v>2.9170059999999998</v>
      </c>
      <c r="AK54" s="1688">
        <f t="shared" si="33"/>
        <v>9.1999999999994864E-5</v>
      </c>
      <c r="AL54" s="1686">
        <f t="shared" si="33"/>
        <v>166.35654436831817</v>
      </c>
      <c r="AM54" s="1687">
        <f t="shared" si="33"/>
        <v>2.8909199999999999</v>
      </c>
      <c r="AN54" s="1688">
        <f t="shared" si="33"/>
        <v>1.6699999999999979E-3</v>
      </c>
      <c r="AO54" s="1686">
        <f t="shared" si="33"/>
        <v>166.74928930916775</v>
      </c>
      <c r="AP54" s="1687">
        <f t="shared" si="33"/>
        <v>2.9001960000000002</v>
      </c>
      <c r="AQ54" s="1688">
        <f t="shared" si="33"/>
        <v>-2.6300000000000004E-3</v>
      </c>
      <c r="AR54" s="1686">
        <f t="shared" si="33"/>
        <v>167.40846119845568</v>
      </c>
      <c r="AS54" s="1687">
        <f t="shared" si="33"/>
        <v>2.9109500000000001</v>
      </c>
      <c r="AT54" s="1688">
        <f t="shared" si="33"/>
        <v>-2.7299999999999963E-3</v>
      </c>
      <c r="AU54" s="1686">
        <f t="shared" si="33"/>
        <v>165.43628925417272</v>
      </c>
      <c r="AV54" s="1687">
        <f t="shared" si="33"/>
        <v>2.8752599999999999</v>
      </c>
      <c r="AW54" s="1688">
        <f t="shared" si="33"/>
        <v>9.5200000000000076E-3</v>
      </c>
      <c r="AX54" s="1686">
        <f t="shared" si="33"/>
        <v>168.62121790761131</v>
      </c>
      <c r="AY54" s="1687">
        <f t="shared" si="33"/>
        <v>2.9315199999999999</v>
      </c>
      <c r="AZ54" s="1688">
        <f t="shared" si="33"/>
        <v>1.7292000000000002E-2</v>
      </c>
      <c r="BA54" s="1686">
        <f t="shared" si="33"/>
        <v>170.42548460919409</v>
      </c>
      <c r="BB54" s="1687">
        <f t="shared" si="33"/>
        <v>2.9639660000000001</v>
      </c>
      <c r="BC54" s="1688">
        <f t="shared" si="33"/>
        <v>2.1642000000000002E-2</v>
      </c>
      <c r="BD54" s="1686">
        <f t="shared" si="33"/>
        <v>173.80230519491545</v>
      </c>
      <c r="BE54" s="1687">
        <f t="shared" si="33"/>
        <v>3.0244140000000002</v>
      </c>
      <c r="BF54" s="1688">
        <f t="shared" si="33"/>
        <v>2.2268000000000003E-2</v>
      </c>
      <c r="BG54" s="1686">
        <f t="shared" si="33"/>
        <v>171.19257688221978</v>
      </c>
      <c r="BH54" s="1687">
        <f t="shared" si="33"/>
        <v>2.9761820000000005</v>
      </c>
      <c r="BI54" s="1688">
        <f t="shared" si="33"/>
        <v>1.5665999999999999E-2</v>
      </c>
      <c r="BJ54" s="1686">
        <f t="shared" si="33"/>
        <v>173.96905837962331</v>
      </c>
      <c r="BK54" s="1687">
        <f t="shared" si="33"/>
        <v>3.0256959999999999</v>
      </c>
      <c r="BL54" s="1688">
        <f t="shared" si="33"/>
        <v>2.0842000000000006E-2</v>
      </c>
      <c r="BM54" s="1686">
        <f t="shared" si="33"/>
        <v>174.22956013197955</v>
      </c>
      <c r="BN54" s="1687">
        <f t="shared" si="33"/>
        <v>3.0300259999999999</v>
      </c>
      <c r="BO54" s="1688">
        <f t="shared" si="33"/>
        <v>2.2992000000000005E-2</v>
      </c>
      <c r="BP54" s="1686">
        <f t="shared" si="33"/>
        <v>175.02186952175185</v>
      </c>
      <c r="BQ54" s="1687">
        <f t="shared" si="33"/>
        <v>3.0440320000000005</v>
      </c>
      <c r="BR54" s="1688">
        <f t="shared" si="33"/>
        <v>2.5565999999999992E-2</v>
      </c>
      <c r="BS54" s="1686">
        <f t="shared" si="33"/>
        <v>171.88130442224849</v>
      </c>
      <c r="BT54" s="1687">
        <f t="shared" ref="BT54:CA54" si="34">BT52+BT53</f>
        <v>2.9887220000000001</v>
      </c>
      <c r="BU54" s="1688">
        <f t="shared" si="34"/>
        <v>2.1465999999999999E-2</v>
      </c>
      <c r="BV54" s="1686">
        <f t="shared" si="34"/>
        <v>171.14464158150673</v>
      </c>
      <c r="BW54" s="1687">
        <f t="shared" si="34"/>
        <v>2.9750999999999999</v>
      </c>
      <c r="BX54" s="1688">
        <f t="shared" si="34"/>
        <v>2.8342000000000006E-2</v>
      </c>
      <c r="BY54" s="1686">
        <f t="shared" si="34"/>
        <v>168.90795409204139</v>
      </c>
      <c r="BZ54" s="1687">
        <f t="shared" si="34"/>
        <v>2.934688</v>
      </c>
      <c r="CA54" s="1688">
        <f t="shared" si="34"/>
        <v>3.4016000000000005E-2</v>
      </c>
      <c r="CB54" s="1230">
        <f>SUM(I54,L54,O54,R54,U54,X54,AA54,AD54,AG54,AJ54,AM54,AP54,AS54,AV54,AY54,BB54,BE54,BH54,BK54,BN54,BQ54,BT54,BW54,BZ54)</f>
        <v>70.132069999999999</v>
      </c>
    </row>
    <row r="55" spans="1:81" x14ac:dyDescent="0.2">
      <c r="A55" s="1728"/>
      <c r="B55" s="470"/>
      <c r="C55" s="1641"/>
      <c r="D55" s="469"/>
      <c r="E55" s="1639"/>
      <c r="F55" s="469"/>
      <c r="G55" s="1639"/>
      <c r="H55" s="1640"/>
      <c r="I55" s="469"/>
      <c r="J55" s="469"/>
      <c r="K55" s="1640"/>
      <c r="L55" s="469"/>
      <c r="M55" s="469"/>
      <c r="N55" s="1640"/>
      <c r="O55" s="469"/>
      <c r="P55" s="469"/>
      <c r="Q55" s="1640"/>
      <c r="R55" s="469"/>
      <c r="S55" s="469"/>
      <c r="T55" s="1640"/>
      <c r="U55" s="469"/>
      <c r="V55" s="469"/>
      <c r="W55" s="1640"/>
      <c r="X55" s="469"/>
      <c r="Y55" s="469"/>
      <c r="Z55" s="1640"/>
      <c r="AA55" s="469"/>
      <c r="AB55" s="469"/>
      <c r="AC55" s="1640"/>
      <c r="AD55" s="469"/>
      <c r="AE55" s="469"/>
      <c r="AF55" s="1640"/>
      <c r="AG55" s="469"/>
      <c r="AH55" s="469"/>
      <c r="AI55" s="1640"/>
      <c r="AJ55" s="469"/>
      <c r="AK55" s="469"/>
      <c r="AL55" s="1640"/>
      <c r="AM55" s="469"/>
      <c r="AN55" s="469"/>
      <c r="AO55" s="1640"/>
      <c r="AP55" s="469"/>
      <c r="AQ55" s="469"/>
      <c r="AR55" s="1640"/>
      <c r="AS55" s="469"/>
      <c r="AT55" s="469"/>
      <c r="AU55" s="1640"/>
      <c r="AV55" s="469"/>
      <c r="AW55" s="469"/>
      <c r="AX55" s="1640"/>
      <c r="AY55" s="469"/>
      <c r="AZ55" s="469"/>
      <c r="BA55" s="1640"/>
      <c r="BB55" s="469"/>
      <c r="BC55" s="469"/>
      <c r="BD55" s="1640"/>
      <c r="BE55" s="469"/>
      <c r="BF55" s="469"/>
      <c r="BG55" s="1640"/>
      <c r="BH55" s="469"/>
      <c r="BI55" s="469"/>
      <c r="BJ55" s="1640"/>
      <c r="BK55" s="469"/>
      <c r="BL55" s="469"/>
      <c r="BM55" s="1640"/>
      <c r="BN55" s="469"/>
      <c r="BO55" s="469"/>
      <c r="BP55" s="1640"/>
      <c r="BQ55" s="469"/>
      <c r="BR55" s="469"/>
      <c r="BS55" s="1640"/>
      <c r="BT55" s="469"/>
      <c r="BU55" s="469"/>
      <c r="BV55" s="1640"/>
      <c r="BW55" s="469"/>
      <c r="BX55" s="469"/>
      <c r="BY55" s="1640"/>
      <c r="BZ55" s="469"/>
      <c r="CA55" s="469"/>
    </row>
    <row r="56" spans="1:81" ht="13.5" thickBot="1" x14ac:dyDescent="0.25">
      <c r="A56" s="1729"/>
      <c r="B56" s="470"/>
      <c r="C56" s="470"/>
      <c r="D56" s="470"/>
      <c r="E56" s="470"/>
      <c r="F56" s="470"/>
      <c r="G56" s="1730"/>
      <c r="H56" s="1731"/>
      <c r="I56" s="1732"/>
      <c r="J56" s="469"/>
      <c r="K56" s="1642"/>
      <c r="L56" s="1733"/>
      <c r="M56" s="1733"/>
      <c r="N56" s="1642"/>
      <c r="O56" s="1733"/>
      <c r="P56" s="1733"/>
      <c r="Q56" s="1642"/>
      <c r="R56" s="1733"/>
      <c r="S56" s="1733"/>
      <c r="T56" s="1642"/>
      <c r="U56" s="1733"/>
      <c r="V56" s="1733"/>
      <c r="W56" s="1642"/>
      <c r="X56" s="1733"/>
      <c r="Y56" s="1733"/>
      <c r="Z56" s="1642"/>
      <c r="AA56" s="1733"/>
      <c r="AB56" s="1733"/>
      <c r="AC56" s="1642"/>
      <c r="AD56" s="1733"/>
      <c r="AE56" s="1733"/>
      <c r="AF56" s="1642"/>
      <c r="AG56" s="1733"/>
      <c r="AH56" s="1733"/>
      <c r="AI56" s="1642"/>
      <c r="AJ56" s="1733"/>
      <c r="AK56" s="1733"/>
      <c r="AL56" s="1642"/>
      <c r="AM56" s="1733"/>
      <c r="AN56" s="1733"/>
      <c r="AO56" s="1642"/>
      <c r="AP56" s="1733"/>
      <c r="AQ56" s="1733"/>
      <c r="AR56" s="1642"/>
      <c r="AS56" s="1733"/>
      <c r="AT56" s="1733"/>
      <c r="AU56" s="1642"/>
      <c r="AV56" s="1733"/>
      <c r="AW56" s="1733"/>
      <c r="AX56" s="1642"/>
      <c r="AY56" s="1733"/>
      <c r="AZ56" s="1733"/>
      <c r="BA56" s="1642"/>
      <c r="BB56" s="1733"/>
      <c r="BC56" s="1733"/>
      <c r="BD56" s="1642"/>
      <c r="BE56" s="1733"/>
      <c r="BF56" s="1733"/>
      <c r="BG56" s="1642"/>
      <c r="BH56" s="1733"/>
      <c r="BI56" s="1733"/>
      <c r="BJ56" s="1642"/>
      <c r="BK56" s="1733"/>
      <c r="BL56" s="1733"/>
      <c r="BM56" s="1642"/>
      <c r="BN56" s="1733"/>
      <c r="BO56" s="1733"/>
      <c r="BP56" s="1642"/>
      <c r="BQ56" s="1733"/>
      <c r="BR56" s="1733"/>
      <c r="BS56" s="1642"/>
      <c r="BT56" s="1733"/>
      <c r="BU56" s="1733"/>
      <c r="BV56" s="1642"/>
      <c r="BW56" s="1733"/>
      <c r="BX56" s="1733"/>
      <c r="BY56" s="1642"/>
      <c r="BZ56" s="1733"/>
      <c r="CA56" s="1733"/>
    </row>
    <row r="57" spans="1:81" x14ac:dyDescent="0.2">
      <c r="A57" s="1734"/>
      <c r="B57" s="1735" t="s">
        <v>22</v>
      </c>
      <c r="C57" s="1671"/>
      <c r="D57" s="1671" t="s">
        <v>45</v>
      </c>
      <c r="E57" s="1671"/>
      <c r="F57" s="1671"/>
      <c r="G57" s="1609"/>
      <c r="H57" s="1736">
        <f>$C$59/1000</f>
        <v>3.1800000000000002E-2</v>
      </c>
      <c r="I57" s="1737" t="s">
        <v>2</v>
      </c>
      <c r="J57" s="1738">
        <f>$G$59/1000</f>
        <v>4.0799999999999996E-2</v>
      </c>
      <c r="K57" s="1736">
        <f>$C$59/1000</f>
        <v>3.1800000000000002E-2</v>
      </c>
      <c r="L57" s="1737" t="s">
        <v>2</v>
      </c>
      <c r="M57" s="1738">
        <f>$G$59/1000</f>
        <v>4.0799999999999996E-2</v>
      </c>
      <c r="N57" s="1736">
        <f>$C$59/1000</f>
        <v>3.1800000000000002E-2</v>
      </c>
      <c r="O57" s="1737" t="s">
        <v>2</v>
      </c>
      <c r="P57" s="1738">
        <f>$G$59/1000</f>
        <v>4.0799999999999996E-2</v>
      </c>
      <c r="Q57" s="1736">
        <f>$C$59/1000</f>
        <v>3.1800000000000002E-2</v>
      </c>
      <c r="R57" s="1737" t="s">
        <v>2</v>
      </c>
      <c r="S57" s="1738">
        <f>$G$59/1000</f>
        <v>4.0799999999999996E-2</v>
      </c>
      <c r="T57" s="1736">
        <f>$C$59/1000</f>
        <v>3.1800000000000002E-2</v>
      </c>
      <c r="U57" s="1737" t="s">
        <v>2</v>
      </c>
      <c r="V57" s="1738">
        <f>$G$59/1000</f>
        <v>4.0799999999999996E-2</v>
      </c>
      <c r="W57" s="1736">
        <f>$C$59/1000</f>
        <v>3.1800000000000002E-2</v>
      </c>
      <c r="X57" s="1737" t="s">
        <v>2</v>
      </c>
      <c r="Y57" s="1738">
        <f>$G$59/1000</f>
        <v>4.0799999999999996E-2</v>
      </c>
      <c r="Z57" s="1736">
        <f>$C$59/1000</f>
        <v>3.1800000000000002E-2</v>
      </c>
      <c r="AA57" s="1737" t="s">
        <v>2</v>
      </c>
      <c r="AB57" s="1738">
        <f>$G$59/1000</f>
        <v>4.0799999999999996E-2</v>
      </c>
      <c r="AC57" s="1736">
        <f>$C$59/1000</f>
        <v>3.1800000000000002E-2</v>
      </c>
      <c r="AD57" s="1737" t="s">
        <v>2</v>
      </c>
      <c r="AE57" s="1738">
        <f>$G$59/1000</f>
        <v>4.0799999999999996E-2</v>
      </c>
      <c r="AF57" s="1736">
        <f>$C$59/1000</f>
        <v>3.1800000000000002E-2</v>
      </c>
      <c r="AG57" s="1737" t="s">
        <v>2</v>
      </c>
      <c r="AH57" s="1738">
        <f>$G$59/1000</f>
        <v>4.0799999999999996E-2</v>
      </c>
      <c r="AI57" s="1736">
        <f>$C$59/1000</f>
        <v>3.1800000000000002E-2</v>
      </c>
      <c r="AJ57" s="1737" t="s">
        <v>2</v>
      </c>
      <c r="AK57" s="1738">
        <f>$G$59/1000</f>
        <v>4.0799999999999996E-2</v>
      </c>
      <c r="AL57" s="1736">
        <f>$C$59/1000</f>
        <v>3.1800000000000002E-2</v>
      </c>
      <c r="AM57" s="1737" t="s">
        <v>2</v>
      </c>
      <c r="AN57" s="1738">
        <f>$G$59/1000</f>
        <v>4.0799999999999996E-2</v>
      </c>
      <c r="AO57" s="1736">
        <f>$C$59/1000</f>
        <v>3.1800000000000002E-2</v>
      </c>
      <c r="AP57" s="1737" t="s">
        <v>2</v>
      </c>
      <c r="AQ57" s="1738">
        <f>$G$59/1000</f>
        <v>4.0799999999999996E-2</v>
      </c>
      <c r="AR57" s="1736">
        <f>$C$59/1000</f>
        <v>3.1800000000000002E-2</v>
      </c>
      <c r="AS57" s="1737" t="s">
        <v>2</v>
      </c>
      <c r="AT57" s="1738">
        <f>$G$59/1000</f>
        <v>4.0799999999999996E-2</v>
      </c>
      <c r="AU57" s="1736">
        <f>$C$59/1000</f>
        <v>3.1800000000000002E-2</v>
      </c>
      <c r="AV57" s="1737" t="s">
        <v>2</v>
      </c>
      <c r="AW57" s="1738">
        <f>$G$59/1000</f>
        <v>4.0799999999999996E-2</v>
      </c>
      <c r="AX57" s="1736">
        <f>$C$59/1000</f>
        <v>3.1800000000000002E-2</v>
      </c>
      <c r="AY57" s="1737" t="s">
        <v>2</v>
      </c>
      <c r="AZ57" s="1738">
        <f>$G$59/1000</f>
        <v>4.0799999999999996E-2</v>
      </c>
      <c r="BA57" s="1736">
        <f>$C$59/1000</f>
        <v>3.1800000000000002E-2</v>
      </c>
      <c r="BB57" s="1737" t="s">
        <v>2</v>
      </c>
      <c r="BC57" s="1738">
        <f>$G$59/1000</f>
        <v>4.0799999999999996E-2</v>
      </c>
      <c r="BD57" s="1736">
        <f>$C$59/1000</f>
        <v>3.1800000000000002E-2</v>
      </c>
      <c r="BE57" s="1737" t="s">
        <v>2</v>
      </c>
      <c r="BF57" s="1738">
        <f>$G$59/1000</f>
        <v>4.0799999999999996E-2</v>
      </c>
      <c r="BG57" s="1736">
        <f>$C$59/1000</f>
        <v>3.1800000000000002E-2</v>
      </c>
      <c r="BH57" s="1737" t="s">
        <v>2</v>
      </c>
      <c r="BI57" s="1738">
        <f>$G$59/1000</f>
        <v>4.0799999999999996E-2</v>
      </c>
      <c r="BJ57" s="1736">
        <f>$C$59/1000</f>
        <v>3.1800000000000002E-2</v>
      </c>
      <c r="BK57" s="1737" t="s">
        <v>2</v>
      </c>
      <c r="BL57" s="1738">
        <f>$G$59/1000</f>
        <v>4.0799999999999996E-2</v>
      </c>
      <c r="BM57" s="1736">
        <f>$C$59/1000</f>
        <v>3.1800000000000002E-2</v>
      </c>
      <c r="BN57" s="1737" t="s">
        <v>2</v>
      </c>
      <c r="BO57" s="1738">
        <f>$G$59/1000</f>
        <v>4.0799999999999996E-2</v>
      </c>
      <c r="BP57" s="1736">
        <f>$C$59/1000</f>
        <v>3.1800000000000002E-2</v>
      </c>
      <c r="BQ57" s="1737" t="s">
        <v>2</v>
      </c>
      <c r="BR57" s="1738">
        <f>$G$59/1000</f>
        <v>4.0799999999999996E-2</v>
      </c>
      <c r="BS57" s="1736">
        <f>$C$59/1000</f>
        <v>3.1800000000000002E-2</v>
      </c>
      <c r="BT57" s="1737" t="s">
        <v>2</v>
      </c>
      <c r="BU57" s="1738">
        <f>$G$59/1000</f>
        <v>4.0799999999999996E-2</v>
      </c>
      <c r="BV57" s="1736">
        <f>$C$59/1000</f>
        <v>3.1800000000000002E-2</v>
      </c>
      <c r="BW57" s="1737" t="s">
        <v>2</v>
      </c>
      <c r="BX57" s="1738">
        <f>$G$59/1000</f>
        <v>4.0799999999999996E-2</v>
      </c>
      <c r="BY57" s="1736">
        <f>$C$59/1000</f>
        <v>3.1800000000000002E-2</v>
      </c>
      <c r="BZ57" s="1737" t="s">
        <v>2</v>
      </c>
      <c r="CA57" s="1738">
        <f>$G$59/1000</f>
        <v>4.0799999999999996E-2</v>
      </c>
    </row>
    <row r="58" spans="1:81" ht="13.5" thickBot="1" x14ac:dyDescent="0.25">
      <c r="A58" s="1606" t="s">
        <v>0</v>
      </c>
      <c r="B58" s="1739" t="s">
        <v>23</v>
      </c>
      <c r="C58" s="1740"/>
      <c r="D58" s="1740" t="s">
        <v>24</v>
      </c>
      <c r="E58" s="1741"/>
      <c r="F58" s="1740"/>
      <c r="G58" s="1625"/>
      <c r="H58" s="1742">
        <f>((I9^2+J9^2)*$C$60/1000+(I10^2+J10^2)*$G$60/1000+(I11^2+J11^2)*$K$60/1000)/$C$12^2</f>
        <v>1.3880445331500002E-3</v>
      </c>
      <c r="I58" s="1743" t="s">
        <v>2</v>
      </c>
      <c r="J58" s="1744">
        <f>((I9^2+J9^2)*$M$60+(I10^2+J10^2)*$O$60+(I11^2+J11^2)*$S$60)/(100*$C$12)</f>
        <v>4.0461542178750004E-2</v>
      </c>
      <c r="K58" s="1742">
        <f>((L9^2+M9^2)*$C$60/1000+(L10^2+M10^2)*$G$60/1000+(L11^2+M11^2)*$K$60/1000)/$C$12^2</f>
        <v>1.386960402808125E-3</v>
      </c>
      <c r="L58" s="1743" t="s">
        <v>2</v>
      </c>
      <c r="M58" s="1744">
        <f>((L9^2+M9^2)*$M$60+(L10^2+M10^2)*$O$60+(L11^2+M11^2)*$S$60)/(100*$C$12)</f>
        <v>4.0372787069999999E-2</v>
      </c>
      <c r="N58" s="1742">
        <f>((O9^2+P9^2)*$C$60/1000+(O10^2+P10^2)*$G$60/1000+(O11^2+P11^2)*$K$60/1000)/$C$12^2</f>
        <v>1.3983740851781245E-3</v>
      </c>
      <c r="O58" s="1743" t="s">
        <v>2</v>
      </c>
      <c r="P58" s="1744">
        <f>((O9^2+P9^2)*$M$60+(O10^2+P10^2)*$O$60+(O11^2+P11^2)*$S$60)/(100*$C$12)</f>
        <v>4.0633989164999995E-2</v>
      </c>
      <c r="Q58" s="1742">
        <f>((R9^2+S9^2)*$C$60/1000+(R10^2+S10^2)*$G$60/1000+(R11^2+S11^2)*$K$60/1000)/$C$12^2</f>
        <v>1.3929745344215625E-3</v>
      </c>
      <c r="R58" s="1743" t="s">
        <v>2</v>
      </c>
      <c r="S58" s="1744">
        <f>((R9^2+S9^2)*$M$60+(R10^2+S10^2)*$O$60+(R11^2+S11^2)*$S$60)/(100*$C$12)</f>
        <v>4.0435483576949996E-2</v>
      </c>
      <c r="T58" s="1742">
        <f>((U9^2+V9^2)*$C$60/1000+(U10^2+V10^2)*$G$60/1000+(U11^2+V11^2)*$K$60/1000)/$C$12^2</f>
        <v>1.3927714933303123E-3</v>
      </c>
      <c r="U58" s="1743" t="s">
        <v>2</v>
      </c>
      <c r="V58" s="1744">
        <f>((U9^2+V9^2)*$M$60+(U10^2+V10^2)*$O$60+(U11^2+V11^2)*$S$60)/(100*$C$12)</f>
        <v>4.0419864327149994E-2</v>
      </c>
      <c r="W58" s="1742">
        <f>((X9^2+Y9^2)*$C$60/1000+(X10^2+Y10^2)*$G$60/1000+(X11^2+Y11^2)*$K$60/1000)/$C$12^2</f>
        <v>1.4173170390196874E-3</v>
      </c>
      <c r="X58" s="1743" t="s">
        <v>2</v>
      </c>
      <c r="Y58" s="1744">
        <f>((X9^2+Y9^2)*$M$60+(X10^2+Y10^2)*$O$60+(X11^2+Y11^2)*$S$60)/(100*$C$12)</f>
        <v>4.1299514348399999E-2</v>
      </c>
      <c r="Z58" s="1742">
        <f>((AA9^2+AB9^2)*$C$60/1000+(AA10^2+AB10^2)*$G$60/1000+(AA11^2+AB11^2)*$K$60/1000)/$C$12^2</f>
        <v>1.4173299992446876E-3</v>
      </c>
      <c r="AA58" s="1743" t="s">
        <v>2</v>
      </c>
      <c r="AB58" s="1744">
        <f>((AA9^2+AB9^2)*$M$60+(AA10^2+AB10^2)*$O$60+(AA11^2+AB11^2)*$S$60)/(100*$C$12)</f>
        <v>4.143622328999999E-2</v>
      </c>
      <c r="AC58" s="1742">
        <f>((AD9^2+AE9^2)*$C$60/1000+(AD10^2+AE10^2)*$G$60/1000+(AD11^2+AE11^2)*$K$60/1000)/$C$12^2</f>
        <v>1.401401070894375E-3</v>
      </c>
      <c r="AD58" s="1743" t="s">
        <v>2</v>
      </c>
      <c r="AE58" s="1744">
        <f>((AD9^2+AE9^2)*$M$60+(AD10^2+AE10^2)*$O$60+(AD11^2+AE11^2)*$S$60)/(100*$C$12)</f>
        <v>4.0912487985599995E-2</v>
      </c>
      <c r="AF58" s="1742">
        <f>((AG9^2+AH9^2)*$C$60/1000+(AG10^2+AH10^2)*$G$60/1000+(AG11^2+AH11^2)*$K$60/1000)/$C$12^2</f>
        <v>1.3639927057199997E-3</v>
      </c>
      <c r="AG58" s="1743" t="s">
        <v>2</v>
      </c>
      <c r="AH58" s="1744">
        <f>((AG9^2+AH9^2)*$M$60+(AG10^2+AH10^2)*$O$60+(AG11^2+AH11^2)*$S$60)/(100*$C$12)</f>
        <v>3.9703892381999992E-2</v>
      </c>
      <c r="AI58" s="1742">
        <f>((AJ9^2+AK9^2)*$C$60/1000+(AJ10^2+AK10^2)*$G$60/1000+(AJ11^2+AK11^2)*$K$60/1000)/$C$12^2</f>
        <v>1.3541495761490623E-3</v>
      </c>
      <c r="AJ58" s="1743" t="s">
        <v>2</v>
      </c>
      <c r="AK58" s="1744">
        <f>((AJ9^2+AK9^2)*$M$60+(AJ10^2+AK10^2)*$O$60+(AJ11^2+AK11^2)*$S$60)/(100*$C$12)</f>
        <v>3.9435087072149988E-2</v>
      </c>
      <c r="AL58" s="1742">
        <f>((AM9^2+AN9^2)*$C$60/1000+(AM10^2+AN10^2)*$G$60/1000+(AM11^2+AN11^2)*$K$60/1000)/$C$12^2</f>
        <v>1.3393247117625001E-3</v>
      </c>
      <c r="AM58" s="1743" t="s">
        <v>2</v>
      </c>
      <c r="AN58" s="1744">
        <f>((AM9^2+AN9^2)*$M$60+(AM10^2+AN10^2)*$O$60+(AM11^2+AN11^2)*$S$60)/(100*$C$12)</f>
        <v>3.8938863729149994E-2</v>
      </c>
      <c r="AO58" s="1742">
        <f>((AP9^2+AQ9^2)*$C$60/1000+(AP10^2+AQ10^2)*$G$60/1000+(AP11^2+AQ11^2)*$K$60/1000)/$C$12^2</f>
        <v>1.3486034755715625E-3</v>
      </c>
      <c r="AP58" s="1743" t="s">
        <v>2</v>
      </c>
      <c r="AQ58" s="1744">
        <f>((AP9^2+AQ9^2)*$M$60+(AP10^2+AQ10^2)*$O$60+(AP11^2+AQ11^2)*$S$60)/(100*$C$12)</f>
        <v>3.9246900288749997E-2</v>
      </c>
      <c r="AR58" s="1742">
        <f>((AS9^2+AT9^2)*$C$60/1000+(AS10^2+AT10^2)*$G$60/1000+(AS11^2+AT11^2)*$K$60/1000)/$C$12^2</f>
        <v>1.3635865987537501E-3</v>
      </c>
      <c r="AS58" s="1743" t="s">
        <v>2</v>
      </c>
      <c r="AT58" s="1744">
        <f>((AS9^2+AT9^2)*$M$60+(AS10^2+AT10^2)*$O$60+(AS11^2+AT11^2)*$S$60)/(100*$C$12)</f>
        <v>3.973856854275E-2</v>
      </c>
      <c r="AU58" s="1742">
        <f>((AV9^2+AW9^2)*$C$60/1000+(AV10^2+AW10^2)*$G$60/1000+(AV11^2+AW11^2)*$K$60/1000)/$C$12^2</f>
        <v>1.3321524545746872E-3</v>
      </c>
      <c r="AV58" s="1743" t="s">
        <v>2</v>
      </c>
      <c r="AW58" s="1744">
        <f>((AV9^2+AW9^2)*$M$60+(AV10^2+AW10^2)*$O$60+(AV11^2+AW11^2)*$S$60)/(100*$C$12)</f>
        <v>3.8994758891549991E-2</v>
      </c>
      <c r="AX58" s="1742">
        <f>((AY9^2+AZ9^2)*$C$60/1000+(AY10^2+AZ10^2)*$G$60/1000+(AY11^2+AZ11^2)*$K$60/1000)/$C$12^2</f>
        <v>6.144365428537499E-4</v>
      </c>
      <c r="AY58" s="1743" t="s">
        <v>2</v>
      </c>
      <c r="AZ58" s="1744">
        <f>((AY9^2+AZ9^2)*$M$60+(AY10^2+AZ10^2)*$O$60+(AY11^2+AZ11^2)*$S$60)/(100*$C$12)</f>
        <v>2.079386413335E-2</v>
      </c>
      <c r="BA58" s="1742">
        <f>((BB9^2+BC9^2)*$C$60/1000+(BB10^2+BC10^2)*$G$60/1000+(BB11^2+BC11^2)*$K$60/1000)/$C$12^2</f>
        <v>4.4072208415124993E-4</v>
      </c>
      <c r="BB58" s="1743" t="s">
        <v>2</v>
      </c>
      <c r="BC58" s="1744">
        <f>((BB9^2+BC9^2)*$M$60+(BB10^2+BC10^2)*$O$60+(BB11^2+BC11^2)*$S$60)/(100*$C$12)</f>
        <v>1.5953066756549998E-2</v>
      </c>
      <c r="BD58" s="1742">
        <f>((BE9^2+BF9^2)*$C$60/1000+(BE10^2+BF10^2)*$G$60/1000+(BE11^2+BF11^2)*$K$60/1000)/$C$12^2</f>
        <v>4.5862275711374995E-4</v>
      </c>
      <c r="BE58" s="1743" t="s">
        <v>2</v>
      </c>
      <c r="BF58" s="1744">
        <f>((BE9^2+BF9^2)*$M$60+(BE10^2+BF10^2)*$O$60+(BE11^2+BF11^2)*$S$60)/(100*$C$12)</f>
        <v>1.6632884683799996E-2</v>
      </c>
      <c r="BG58" s="1742">
        <f>((BH9^2+BI9^2)*$C$60/1000+(BH10^2+BI10^2)*$G$60/1000+(BH11^2+BI11^2)*$K$60/1000)/$C$12^2</f>
        <v>4.3728684341624987E-4</v>
      </c>
      <c r="BH58" s="1743" t="s">
        <v>2</v>
      </c>
      <c r="BI58" s="1744">
        <f>((BH9^2+BI9^2)*$M$60+(BH10^2+BI10^2)*$O$60+(BH11^2+BI11^2)*$S$60)/(100*$C$12)</f>
        <v>1.5874366072949998E-2</v>
      </c>
      <c r="BJ58" s="1742">
        <f>((BK9^2+BL9^2)*$C$60/1000+(BK10^2+BL10^2)*$G$60/1000+(BK11^2+BL11^2)*$K$60/1000)/$C$12^2</f>
        <v>4.5968868230625E-4</v>
      </c>
      <c r="BK58" s="1743" t="s">
        <v>2</v>
      </c>
      <c r="BL58" s="1744">
        <f>((BK9^2+BL9^2)*$M$60+(BK10^2+BL10^2)*$O$60+(BK11^2+BL11^2)*$S$60)/(100*$C$12)</f>
        <v>1.6679538933750002E-2</v>
      </c>
      <c r="BM58" s="1742">
        <f>((BN9^2+BO9^2)*$C$60/1000+(BN10^2+BO10^2)*$G$60/1000+(BN11^2+BO11^2)*$K$60/1000)/$C$12^2</f>
        <v>4.6074022587843755E-4</v>
      </c>
      <c r="BN58" s="1743" t="s">
        <v>2</v>
      </c>
      <c r="BO58" s="1744">
        <f>((BN9^2+BO9^2)*$M$60+(BN10^2+BO10^2)*$O$60+(BN11^2+BO11^2)*$S$60)/(100*$C$12)</f>
        <v>1.6699447195199998E-2</v>
      </c>
      <c r="BP58" s="1742">
        <f>((BQ9^2+BR9^2)*$C$60/1000+(BQ10^2+BR10^2)*$G$60/1000+(BQ11^2+BR11^2)*$K$60/1000)/$C$12^2</f>
        <v>4.6003084608375004E-4</v>
      </c>
      <c r="BQ58" s="1743" t="s">
        <v>2</v>
      </c>
      <c r="BR58" s="1744">
        <f>((BQ9^2+BR9^2)*$M$60+(BQ10^2+BR10^2)*$O$60+(BQ11^2+BR11^2)*$S$60)/(100*$C$12)</f>
        <v>1.6692727589999998E-2</v>
      </c>
      <c r="BS58" s="1742">
        <f>((BT9^2+BU9^2)*$C$60/1000+(BT10^2+BU10^2)*$G$60/1000+(BT11^2+BU11^2)*$K$60/1000)/$C$12^2</f>
        <v>6.0293485720968763E-4</v>
      </c>
      <c r="BT58" s="1743" t="s">
        <v>2</v>
      </c>
      <c r="BU58" s="1744">
        <f>((BT9^2+BU9^2)*$M$60+(BT10^2+BU10^2)*$O$60+(BT11^2+BU11^2)*$S$60)/(100*$C$12)</f>
        <v>2.0739681131400001E-2</v>
      </c>
      <c r="BV58" s="1742">
        <f>((BW9^2+BX9^2)*$C$60/1000+(BW10^2+BX10^2)*$G$60/1000+(BW11^2+BX11^2)*$K$60/1000)/$C$12^2</f>
        <v>1.1051434169831252E-3</v>
      </c>
      <c r="BW58" s="1743" t="s">
        <v>2</v>
      </c>
      <c r="BX58" s="1744">
        <f>((BW9^2+BX9^2)*$M$60+(BW10^2+BX10^2)*$O$60+(BW11^2+BX11^2)*$S$60)/(100*$C$12)</f>
        <v>3.3738552678599994E-2</v>
      </c>
      <c r="BY58" s="1742">
        <f>((BZ9^2+CA9^2)*$C$60/1000+(BZ10^2+CA10^2)*$G$60/1000+(BZ11^2+CA11^2)*$K$60/1000)/$C$12^2</f>
        <v>1.1801390837821875E-3</v>
      </c>
      <c r="BZ58" s="1743" t="s">
        <v>2</v>
      </c>
      <c r="CA58" s="1744">
        <f>((BZ9^2+CA9^2)*$M$60+(BZ10^2+CA10^2)*$O$60+(BZ11^2+CA11^2)*$S$60)/(100*$C$12)</f>
        <v>3.5590915760400001E-2</v>
      </c>
    </row>
    <row r="59" spans="1:81" x14ac:dyDescent="0.2">
      <c r="A59" s="1606"/>
      <c r="B59" s="1745" t="s">
        <v>394</v>
      </c>
      <c r="C59" s="1746">
        <v>31.8</v>
      </c>
      <c r="D59" s="1747"/>
      <c r="E59" s="1747"/>
      <c r="F59" s="1748" t="s">
        <v>395</v>
      </c>
      <c r="G59" s="1749">
        <v>40.799999999999997</v>
      </c>
      <c r="H59" s="1608"/>
      <c r="I59" s="1623"/>
      <c r="J59" s="1750"/>
      <c r="K59" s="1751"/>
      <c r="L59" s="1752"/>
      <c r="M59" s="1753"/>
      <c r="N59" s="1608"/>
      <c r="O59" s="1623"/>
      <c r="P59" s="1750"/>
      <c r="Q59" s="1751"/>
      <c r="R59" s="1752"/>
      <c r="S59" s="1753"/>
      <c r="T59" s="1754"/>
      <c r="U59" s="1755"/>
      <c r="V59" s="1750"/>
      <c r="W59" s="1751"/>
      <c r="X59" s="1752"/>
      <c r="Y59" s="1756"/>
      <c r="Z59" s="1751"/>
      <c r="AA59" s="1752"/>
      <c r="AB59" s="1756"/>
      <c r="AC59" s="1751"/>
      <c r="AD59" s="1752"/>
      <c r="AE59" s="1756"/>
      <c r="AF59" s="1751"/>
      <c r="AG59" s="1752"/>
      <c r="AH59" s="1756"/>
      <c r="AI59" s="1751"/>
      <c r="AJ59" s="1752"/>
      <c r="AK59" s="1756"/>
      <c r="AL59" s="1751"/>
      <c r="AM59" s="1752"/>
      <c r="AN59" s="1756"/>
      <c r="AO59" s="1751"/>
      <c r="AP59" s="1752"/>
      <c r="AQ59" s="1756"/>
      <c r="AR59" s="1751"/>
      <c r="AS59" s="1752"/>
      <c r="AT59" s="1756"/>
      <c r="AU59" s="1751"/>
      <c r="AV59" s="1752"/>
      <c r="AW59" s="1756"/>
      <c r="AX59" s="1751"/>
      <c r="AY59" s="1752"/>
      <c r="AZ59" s="1756"/>
      <c r="BA59" s="1751"/>
      <c r="BB59" s="1752"/>
      <c r="BC59" s="1756"/>
      <c r="BD59" s="1751"/>
      <c r="BE59" s="1752"/>
      <c r="BF59" s="1756"/>
      <c r="BG59" s="1751"/>
      <c r="BH59" s="1752"/>
      <c r="BI59" s="1756"/>
      <c r="BJ59" s="1751"/>
      <c r="BK59" s="1752"/>
      <c r="BL59" s="1756"/>
      <c r="BM59" s="1751"/>
      <c r="BN59" s="1752"/>
      <c r="BO59" s="1756"/>
      <c r="BP59" s="1751"/>
      <c r="BQ59" s="1752"/>
      <c r="BR59" s="1756"/>
      <c r="BS59" s="1751"/>
      <c r="BT59" s="1752"/>
      <c r="BU59" s="1756"/>
      <c r="BV59" s="1751"/>
      <c r="BW59" s="1752"/>
      <c r="BX59" s="1756"/>
      <c r="BY59" s="1751"/>
      <c r="BZ59" s="1752"/>
      <c r="CA59" s="1756"/>
    </row>
    <row r="60" spans="1:81" ht="13.5" thickBot="1" x14ac:dyDescent="0.25">
      <c r="A60" s="1606"/>
      <c r="B60" s="1757" t="s">
        <v>59</v>
      </c>
      <c r="C60" s="1758">
        <v>134.19999999999999</v>
      </c>
      <c r="D60" s="1759"/>
      <c r="E60" s="1760" t="s">
        <v>58</v>
      </c>
      <c r="F60" s="1761"/>
      <c r="G60" s="1759">
        <v>78.150000000000006</v>
      </c>
      <c r="H60" s="1633"/>
      <c r="I60" s="1489">
        <v>0</v>
      </c>
      <c r="J60" s="1490" t="s">
        <v>57</v>
      </c>
      <c r="K60" s="1762">
        <v>97.01</v>
      </c>
      <c r="L60" s="1762" t="s">
        <v>53</v>
      </c>
      <c r="M60" s="1762">
        <v>10.78</v>
      </c>
      <c r="N60" s="1633"/>
      <c r="O60" s="1489">
        <v>0</v>
      </c>
      <c r="P60" s="1490" t="s">
        <v>57</v>
      </c>
      <c r="Q60" s="1762">
        <v>97.01</v>
      </c>
      <c r="R60" s="1762" t="s">
        <v>53</v>
      </c>
      <c r="S60" s="1762">
        <v>10.78</v>
      </c>
      <c r="T60" s="1633" t="s">
        <v>54</v>
      </c>
      <c r="U60" s="1489">
        <v>-0.5</v>
      </c>
      <c r="V60" s="1490"/>
      <c r="W60" s="1762">
        <v>0</v>
      </c>
      <c r="X60" s="1762" t="s">
        <v>56</v>
      </c>
      <c r="Y60" s="1763">
        <v>7.2</v>
      </c>
      <c r="Z60" s="1762">
        <v>0</v>
      </c>
      <c r="AA60" s="1762"/>
      <c r="AB60" s="1763"/>
      <c r="AC60" s="1762"/>
      <c r="AD60" s="1762"/>
      <c r="AE60" s="1763"/>
      <c r="AF60" s="1762"/>
      <c r="AG60" s="1762"/>
      <c r="AH60" s="1763"/>
      <c r="AI60" s="1762"/>
      <c r="AJ60" s="1762"/>
      <c r="AK60" s="1763"/>
      <c r="AL60" s="1762"/>
      <c r="AM60" s="1762"/>
      <c r="AN60" s="1763"/>
      <c r="AO60" s="1762"/>
      <c r="AP60" s="1762"/>
      <c r="AQ60" s="1763"/>
      <c r="AR60" s="1762"/>
      <c r="AS60" s="1762"/>
      <c r="AT60" s="1763"/>
      <c r="AU60" s="1762"/>
      <c r="AV60" s="1762"/>
      <c r="AW60" s="1763"/>
      <c r="AX60" s="1762"/>
      <c r="AY60" s="1762"/>
      <c r="AZ60" s="1763"/>
      <c r="BA60" s="1762"/>
      <c r="BB60" s="1762"/>
      <c r="BC60" s="1763"/>
      <c r="BD60" s="1762"/>
      <c r="BE60" s="1762"/>
      <c r="BF60" s="1763"/>
      <c r="BG60" s="1762"/>
      <c r="BH60" s="1762"/>
      <c r="BI60" s="1763"/>
      <c r="BJ60" s="1762"/>
      <c r="BK60" s="1762"/>
      <c r="BL60" s="1763"/>
      <c r="BM60" s="1762"/>
      <c r="BN60" s="1762"/>
      <c r="BO60" s="1763"/>
      <c r="BP60" s="1762"/>
      <c r="BQ60" s="1762"/>
      <c r="BR60" s="1763"/>
      <c r="BS60" s="1762"/>
      <c r="BT60" s="1762"/>
      <c r="BU60" s="1763"/>
      <c r="BV60" s="1762"/>
      <c r="BW60" s="1762"/>
      <c r="BX60" s="1763"/>
      <c r="BY60" s="1762"/>
      <c r="BZ60" s="1762"/>
      <c r="CA60" s="1763"/>
    </row>
    <row r="61" spans="1:81" ht="13.5" thickBot="1" x14ac:dyDescent="0.25">
      <c r="A61" s="1616"/>
      <c r="B61" s="2415" t="s">
        <v>29</v>
      </c>
      <c r="C61" s="2416"/>
      <c r="D61" s="2416"/>
      <c r="E61" s="2416"/>
      <c r="F61" s="2416"/>
      <c r="G61" s="2417"/>
      <c r="H61" s="1764">
        <f>I9</f>
        <v>3.5310000000000001</v>
      </c>
      <c r="I61" s="1765" t="s">
        <v>2</v>
      </c>
      <c r="J61" s="1766">
        <f>J9</f>
        <v>0.26400000000000001</v>
      </c>
      <c r="K61" s="1764">
        <f>L9</f>
        <v>3.5310000000000001</v>
      </c>
      <c r="L61" s="1765" t="s">
        <v>2</v>
      </c>
      <c r="M61" s="1766">
        <f>M9</f>
        <v>0.26400000000000001</v>
      </c>
      <c r="N61" s="1764">
        <f>O9</f>
        <v>3.5442</v>
      </c>
      <c r="O61" s="1765" t="s">
        <v>2</v>
      </c>
      <c r="P61" s="1766">
        <f>P9</f>
        <v>0.27060000000000001</v>
      </c>
      <c r="Q61" s="1764">
        <f>R9</f>
        <v>3.5375999999999999</v>
      </c>
      <c r="R61" s="1765" t="s">
        <v>2</v>
      </c>
      <c r="S61" s="1766">
        <f>S9</f>
        <v>0.26400000000000001</v>
      </c>
      <c r="T61" s="1764">
        <f>U9</f>
        <v>3.5375999999999999</v>
      </c>
      <c r="U61" s="1765" t="s">
        <v>2</v>
      </c>
      <c r="V61" s="1766">
        <f>V9</f>
        <v>0.27060000000000001</v>
      </c>
      <c r="W61" s="1764">
        <f>X9</f>
        <v>3.5705999999999998</v>
      </c>
      <c r="X61" s="1765" t="s">
        <v>2</v>
      </c>
      <c r="Y61" s="1766">
        <f>Y9</f>
        <v>0.25739999999999996</v>
      </c>
      <c r="Z61" s="1764">
        <f>AA9</f>
        <v>3.5705999999999998</v>
      </c>
      <c r="AA61" s="1765" t="s">
        <v>2</v>
      </c>
      <c r="AB61" s="1766">
        <f>AB9</f>
        <v>0.2442</v>
      </c>
      <c r="AC61" s="1764">
        <f>AD9</f>
        <v>3.5508000000000002</v>
      </c>
      <c r="AD61" s="1765" t="s">
        <v>2</v>
      </c>
      <c r="AE61" s="1766">
        <f>AE9</f>
        <v>0.2112</v>
      </c>
      <c r="AF61" s="1764">
        <f>AG9</f>
        <v>3.5045999999999999</v>
      </c>
      <c r="AG61" s="1765" t="s">
        <v>2</v>
      </c>
      <c r="AH61" s="1766">
        <f>AH9</f>
        <v>0.2112</v>
      </c>
      <c r="AI61" s="1764">
        <f>AJ9</f>
        <v>3.4913999999999996</v>
      </c>
      <c r="AJ61" s="1765" t="s">
        <v>2</v>
      </c>
      <c r="AK61" s="1766">
        <f>AK9</f>
        <v>0.2046</v>
      </c>
      <c r="AL61" s="1764">
        <f>AM9</f>
        <v>3.4716</v>
      </c>
      <c r="AM61" s="1765" t="s">
        <v>2</v>
      </c>
      <c r="AN61" s="1766">
        <f>AN9</f>
        <v>0.2046</v>
      </c>
      <c r="AO61" s="1764">
        <f>AP9</f>
        <v>3.4848000000000003</v>
      </c>
      <c r="AP61" s="1765" t="s">
        <v>2</v>
      </c>
      <c r="AQ61" s="1766">
        <f>AQ9</f>
        <v>0.19139999999999999</v>
      </c>
      <c r="AR61" s="1764">
        <f>AS9</f>
        <v>3.5046000000000004</v>
      </c>
      <c r="AS61" s="1765" t="s">
        <v>2</v>
      </c>
      <c r="AT61" s="1766">
        <f>AT9</f>
        <v>0.18480000000000002</v>
      </c>
      <c r="AU61" s="1764">
        <f>AV9</f>
        <v>3.4649999999999999</v>
      </c>
      <c r="AV61" s="1765" t="s">
        <v>2</v>
      </c>
      <c r="AW61" s="1766">
        <f>AW9</f>
        <v>0.18480000000000002</v>
      </c>
      <c r="AX61" s="1764">
        <f>AY9</f>
        <v>2.2902</v>
      </c>
      <c r="AY61" s="1765" t="s">
        <v>2</v>
      </c>
      <c r="AZ61" s="1766">
        <f>AZ9</f>
        <v>-0.15180000000000002</v>
      </c>
      <c r="BA61" s="1764">
        <f>BB9</f>
        <v>1.8348</v>
      </c>
      <c r="BB61" s="1765" t="s">
        <v>2</v>
      </c>
      <c r="BC61" s="1766">
        <f>BC9</f>
        <v>-0.19800000000000001</v>
      </c>
      <c r="BD61" s="1764">
        <f>BE9</f>
        <v>1.8677999999999999</v>
      </c>
      <c r="BE61" s="1765" t="s">
        <v>2</v>
      </c>
      <c r="BF61" s="1766">
        <f>BF9</f>
        <v>-0.19800000000000001</v>
      </c>
      <c r="BG61" s="1764">
        <f>BH9</f>
        <v>1.8215999999999999</v>
      </c>
      <c r="BH61" s="1765" t="s">
        <v>2</v>
      </c>
      <c r="BI61" s="1766">
        <f>BI9</f>
        <v>-0.19800000000000001</v>
      </c>
      <c r="BJ61" s="1764">
        <f>BK9</f>
        <v>1.8678000000000001</v>
      </c>
      <c r="BK61" s="1765" t="s">
        <v>2</v>
      </c>
      <c r="BL61" s="1766">
        <f>BL9</f>
        <v>-0.2046</v>
      </c>
      <c r="BM61" s="1764">
        <f>BN9</f>
        <v>1.8744000000000001</v>
      </c>
      <c r="BN61" s="1765" t="s">
        <v>2</v>
      </c>
      <c r="BO61" s="1766">
        <f>BO9</f>
        <v>-0.19800000000000001</v>
      </c>
      <c r="BP61" s="1764">
        <f>BQ9</f>
        <v>1.8678000000000001</v>
      </c>
      <c r="BQ61" s="1765" t="s">
        <v>2</v>
      </c>
      <c r="BR61" s="1766">
        <f>BR9</f>
        <v>-0.2046</v>
      </c>
      <c r="BS61" s="1764">
        <f>BT9</f>
        <v>2.2506000000000004</v>
      </c>
      <c r="BT61" s="1765" t="s">
        <v>2</v>
      </c>
      <c r="BU61" s="1766">
        <f>BU9</f>
        <v>-0.12540000000000001</v>
      </c>
      <c r="BV61" s="1764">
        <f>BW9</f>
        <v>3.1481999999999997</v>
      </c>
      <c r="BW61" s="1765" t="s">
        <v>2</v>
      </c>
      <c r="BX61" s="1766">
        <f>BX9</f>
        <v>0.1782</v>
      </c>
      <c r="BY61" s="1764">
        <f>BZ9</f>
        <v>3.2604000000000002</v>
      </c>
      <c r="BZ61" s="1765" t="s">
        <v>2</v>
      </c>
      <c r="CA61" s="1766">
        <f>CA9</f>
        <v>6.6000000000000017E-3</v>
      </c>
    </row>
    <row r="62" spans="1:81" x14ac:dyDescent="0.2">
      <c r="A62" s="1734"/>
      <c r="B62" s="1735" t="s">
        <v>22</v>
      </c>
      <c r="C62" s="1671"/>
      <c r="D62" s="1671" t="s">
        <v>45</v>
      </c>
      <c r="E62" s="1671"/>
      <c r="F62" s="1671"/>
      <c r="G62" s="1671"/>
      <c r="H62" s="1736">
        <f>$C$64/1000</f>
        <v>3.2500000000000001E-2</v>
      </c>
      <c r="I62" s="1737" t="s">
        <v>2</v>
      </c>
      <c r="J62" s="1738">
        <f>$G$64/1000</f>
        <v>4.6399999999999997E-2</v>
      </c>
      <c r="K62" s="1736">
        <f>$C$64/1000</f>
        <v>3.2500000000000001E-2</v>
      </c>
      <c r="L62" s="1737" t="s">
        <v>2</v>
      </c>
      <c r="M62" s="1738">
        <f>$G$64/1000</f>
        <v>4.6399999999999997E-2</v>
      </c>
      <c r="N62" s="1736">
        <f>$C$64/1000</f>
        <v>3.2500000000000001E-2</v>
      </c>
      <c r="O62" s="1737" t="s">
        <v>2</v>
      </c>
      <c r="P62" s="1738">
        <f>$G$64/1000</f>
        <v>4.6399999999999997E-2</v>
      </c>
      <c r="Q62" s="1736">
        <f>$C$64/1000</f>
        <v>3.2500000000000001E-2</v>
      </c>
      <c r="R62" s="1737" t="s">
        <v>2</v>
      </c>
      <c r="S62" s="1738">
        <f>$G$64/1000</f>
        <v>4.6399999999999997E-2</v>
      </c>
      <c r="T62" s="1736">
        <f>$C$64/1000</f>
        <v>3.2500000000000001E-2</v>
      </c>
      <c r="U62" s="1737" t="s">
        <v>2</v>
      </c>
      <c r="V62" s="1738">
        <f>$G$64/1000</f>
        <v>4.6399999999999997E-2</v>
      </c>
      <c r="W62" s="1736">
        <f>$C$64/1000</f>
        <v>3.2500000000000001E-2</v>
      </c>
      <c r="X62" s="1737" t="s">
        <v>2</v>
      </c>
      <c r="Y62" s="1738">
        <f>$G$64/1000</f>
        <v>4.6399999999999997E-2</v>
      </c>
      <c r="Z62" s="1736">
        <f>$C$64/1000</f>
        <v>3.2500000000000001E-2</v>
      </c>
      <c r="AA62" s="1737" t="s">
        <v>2</v>
      </c>
      <c r="AB62" s="1738">
        <f>$G$64/1000</f>
        <v>4.6399999999999997E-2</v>
      </c>
      <c r="AC62" s="1736">
        <f>$C$64/1000</f>
        <v>3.2500000000000001E-2</v>
      </c>
      <c r="AD62" s="1737" t="s">
        <v>2</v>
      </c>
      <c r="AE62" s="1738">
        <f>$G$64/1000</f>
        <v>4.6399999999999997E-2</v>
      </c>
      <c r="AF62" s="1736">
        <f>$C$64/1000</f>
        <v>3.2500000000000001E-2</v>
      </c>
      <c r="AG62" s="1737" t="s">
        <v>2</v>
      </c>
      <c r="AH62" s="1738">
        <f>$G$64/1000</f>
        <v>4.6399999999999997E-2</v>
      </c>
      <c r="AI62" s="1736">
        <f>$C$64/1000</f>
        <v>3.2500000000000001E-2</v>
      </c>
      <c r="AJ62" s="1737" t="s">
        <v>2</v>
      </c>
      <c r="AK62" s="1738">
        <f>$G$64/1000</f>
        <v>4.6399999999999997E-2</v>
      </c>
      <c r="AL62" s="1736">
        <f>$C$64/1000</f>
        <v>3.2500000000000001E-2</v>
      </c>
      <c r="AM62" s="1737" t="s">
        <v>2</v>
      </c>
      <c r="AN62" s="1738">
        <f>$G$64/1000</f>
        <v>4.6399999999999997E-2</v>
      </c>
      <c r="AO62" s="1736">
        <f>$C$64/1000</f>
        <v>3.2500000000000001E-2</v>
      </c>
      <c r="AP62" s="1737" t="s">
        <v>2</v>
      </c>
      <c r="AQ62" s="1738">
        <f>$G$64/1000</f>
        <v>4.6399999999999997E-2</v>
      </c>
      <c r="AR62" s="1736">
        <f>$C$64/1000</f>
        <v>3.2500000000000001E-2</v>
      </c>
      <c r="AS62" s="1737" t="s">
        <v>2</v>
      </c>
      <c r="AT62" s="1738">
        <f>$G$64/1000</f>
        <v>4.6399999999999997E-2</v>
      </c>
      <c r="AU62" s="1736">
        <f>$C$64/1000</f>
        <v>3.2500000000000001E-2</v>
      </c>
      <c r="AV62" s="1737" t="s">
        <v>2</v>
      </c>
      <c r="AW62" s="1738">
        <f>$G$64/1000</f>
        <v>4.6399999999999997E-2</v>
      </c>
      <c r="AX62" s="1736">
        <f>$C$64/1000</f>
        <v>3.2500000000000001E-2</v>
      </c>
      <c r="AY62" s="1737" t="s">
        <v>2</v>
      </c>
      <c r="AZ62" s="1738">
        <f>$G$64/1000</f>
        <v>4.6399999999999997E-2</v>
      </c>
      <c r="BA62" s="1736">
        <f>$C$64/1000</f>
        <v>3.2500000000000001E-2</v>
      </c>
      <c r="BB62" s="1737" t="s">
        <v>2</v>
      </c>
      <c r="BC62" s="1738">
        <f>$G$64/1000</f>
        <v>4.6399999999999997E-2</v>
      </c>
      <c r="BD62" s="1736">
        <f>$C$64/1000</f>
        <v>3.2500000000000001E-2</v>
      </c>
      <c r="BE62" s="1737" t="s">
        <v>2</v>
      </c>
      <c r="BF62" s="1738">
        <f>$G$64/1000</f>
        <v>4.6399999999999997E-2</v>
      </c>
      <c r="BG62" s="1736">
        <f>$C$64/1000</f>
        <v>3.2500000000000001E-2</v>
      </c>
      <c r="BH62" s="1737" t="s">
        <v>2</v>
      </c>
      <c r="BI62" s="1738">
        <f>$G$64/1000</f>
        <v>4.6399999999999997E-2</v>
      </c>
      <c r="BJ62" s="1736">
        <f>$C$64/1000</f>
        <v>3.2500000000000001E-2</v>
      </c>
      <c r="BK62" s="1737" t="s">
        <v>2</v>
      </c>
      <c r="BL62" s="1738">
        <f>$G$64/1000</f>
        <v>4.6399999999999997E-2</v>
      </c>
      <c r="BM62" s="1736">
        <f>$C$64/1000</f>
        <v>3.2500000000000001E-2</v>
      </c>
      <c r="BN62" s="1737" t="s">
        <v>2</v>
      </c>
      <c r="BO62" s="1738">
        <f>$G$64/1000</f>
        <v>4.6399999999999997E-2</v>
      </c>
      <c r="BP62" s="1736">
        <f>$C$64/1000</f>
        <v>3.2500000000000001E-2</v>
      </c>
      <c r="BQ62" s="1737" t="s">
        <v>2</v>
      </c>
      <c r="BR62" s="1738">
        <f>$G$64/1000</f>
        <v>4.6399999999999997E-2</v>
      </c>
      <c r="BS62" s="1736">
        <f>$C$64/1000</f>
        <v>3.2500000000000001E-2</v>
      </c>
      <c r="BT62" s="1737" t="s">
        <v>2</v>
      </c>
      <c r="BU62" s="1738">
        <f>$G$64/1000</f>
        <v>4.6399999999999997E-2</v>
      </c>
      <c r="BV62" s="1736">
        <f>$C$64/1000</f>
        <v>3.2500000000000001E-2</v>
      </c>
      <c r="BW62" s="1737" t="s">
        <v>2</v>
      </c>
      <c r="BX62" s="1738">
        <f>$G$64/1000</f>
        <v>4.6399999999999997E-2</v>
      </c>
      <c r="BY62" s="1736">
        <f>$C$64/1000</f>
        <v>3.2500000000000001E-2</v>
      </c>
      <c r="BZ62" s="1737" t="s">
        <v>2</v>
      </c>
      <c r="CA62" s="1738">
        <f>$G$64/1000</f>
        <v>4.6399999999999997E-2</v>
      </c>
    </row>
    <row r="63" spans="1:81" ht="13.5" thickBot="1" x14ac:dyDescent="0.25">
      <c r="A63" s="1767" t="s">
        <v>1</v>
      </c>
      <c r="B63" s="1739" t="s">
        <v>23</v>
      </c>
      <c r="C63" s="1740"/>
      <c r="D63" s="1740" t="s">
        <v>24</v>
      </c>
      <c r="E63" s="1741"/>
      <c r="F63" s="1740"/>
      <c r="G63" s="1613"/>
      <c r="H63" s="1742">
        <f>((I17^2+J17^2)*$C$65/1000+(I18^2+J18^2)*$G$65/1000+(I19^2+J19^2)*$K$65/1000)/$C$20^2</f>
        <v>2.9227293048819376E-3</v>
      </c>
      <c r="I63" s="1743" t="s">
        <v>2</v>
      </c>
      <c r="J63" s="1744">
        <f>((I17^2+J17^2)*$M$65+(I18^2+J18^2)*$O$65+(I19^2+J19^2)*$S$65)/(100*$C$20)</f>
        <v>7.2678526900199977E-2</v>
      </c>
      <c r="K63" s="1742">
        <f>((L17^2+M17^2)*$C$65/1000+(L18^2+M18^2)*$G$65/1000+(L19^2+M19^2)*$K$65/1000)/$C$20^2</f>
        <v>2.8613840080831871E-3</v>
      </c>
      <c r="L63" s="1743" t="s">
        <v>2</v>
      </c>
      <c r="M63" s="1744">
        <f>((L17^2+M17^2)*$M$65+(L18^2+M18^2)*$O$65+(L19^2+M19^2)*$S$65)/(100*$C$20)</f>
        <v>7.1044273273499978E-2</v>
      </c>
      <c r="N63" s="1742">
        <f>((O17^2+P17^2)*$C$65/1000+(O18^2+P18^2)*$G$65/1000+(O19^2+P19^2)*$K$65/1000)/$C$20^2</f>
        <v>2.8830665103412494E-3</v>
      </c>
      <c r="O63" s="1743" t="s">
        <v>2</v>
      </c>
      <c r="P63" s="1744">
        <f>((O17^2+P17^2)*$M$65+(O18^2+P18^2)*$O$65+(O19^2+P19^2)*$S$65)/(100*$C$20)</f>
        <v>7.1764639807499989E-2</v>
      </c>
      <c r="Q63" s="1742">
        <f>((R17^2+S17^2)*$C$65/1000+(R18^2+S18^2)*$G$65/1000+(R19^2+S19^2)*$K$65/1000)/$C$20^2</f>
        <v>2.8591068400593759E-3</v>
      </c>
      <c r="R63" s="1743" t="s">
        <v>2</v>
      </c>
      <c r="S63" s="1744">
        <f>((R17^2+S17^2)*$M$65+(R18^2+S18^2)*$O$65+(R19^2+S19^2)*$S$65)/(100*$C$20)</f>
        <v>7.0807847630400031E-2</v>
      </c>
      <c r="T63" s="1742">
        <f>((U17^2+V17^2)*$C$65/1000+(U18^2+V18^2)*$G$65/1000+(U19^2+V19^2)*$K$65/1000)/$C$20^2</f>
        <v>2.9749961220384372E-3</v>
      </c>
      <c r="U63" s="1743" t="s">
        <v>2</v>
      </c>
      <c r="V63" s="1744">
        <f>((U17^2+V17^2)*$M$65+(U18^2+V18^2)*$O$65+(U19^2+V19^2)*$S$65)/(100*$C$20)</f>
        <v>7.4079662853600001E-2</v>
      </c>
      <c r="W63" s="1742">
        <f>((X17^2+Y17^2)*$C$65/1000+(X18^2+Y18^2)*$G$65/1000+(X19^2+Y19^2)*$K$65/1000)/$C$20^2</f>
        <v>2.9828949510999382E-3</v>
      </c>
      <c r="X63" s="1743" t="s">
        <v>2</v>
      </c>
      <c r="Y63" s="1744">
        <f>((X17^2+Y17^2)*$M$65+(X18^2+Y18^2)*$O$65+(X19^2+Y19^2)*$S$65)/(100*$C$20)</f>
        <v>7.4105083710000005E-2</v>
      </c>
      <c r="Z63" s="1742">
        <f>((AA17^2+AB17^2)*$C$65/1000+(AA18^2+AB18^2)*$G$65/1000+(AA19^2+AB19^2)*$K$65/1000)/$C$20^2</f>
        <v>3.0423240471633751E-3</v>
      </c>
      <c r="AA63" s="1743" t="s">
        <v>2</v>
      </c>
      <c r="AB63" s="1744">
        <f>((AA17^2+AB17^2)*$M$65+(AA18^2+AB18^2)*$O$65+(AA19^2+AB19^2)*$S$65)/(100*$C$20)</f>
        <v>7.5758057667900003E-2</v>
      </c>
      <c r="AC63" s="1742">
        <f>((AD17^2+AE17^2)*$C$65/1000+(AD18^2+AE18^2)*$G$65/1000+(AD19^2+AE19^2)*$K$65/1000)/$C$20^2</f>
        <v>3.0548745725034378E-3</v>
      </c>
      <c r="AD63" s="1743" t="s">
        <v>2</v>
      </c>
      <c r="AE63" s="1744">
        <f>((AD17^2+AE17^2)*$M$65+(AD18^2+AE18^2)*$O$65+(AD19^2+AE19^2)*$S$65)/(100*$C$20)</f>
        <v>7.6072218438600001E-2</v>
      </c>
      <c r="AF63" s="1742">
        <f>((AG17^2+AH17^2)*$C$65/1000+(AG18^2+AH18^2)*$G$65/1000+(AG19^2+AH19^2)*$K$65/1000)/$C$20^2</f>
        <v>3.1269339855961881E-3</v>
      </c>
      <c r="AG63" s="1743" t="s">
        <v>2</v>
      </c>
      <c r="AH63" s="1744">
        <f>((AG17^2+AH17^2)*$M$65+(AG18^2+AH18^2)*$O$65+(AG19^2+AH19^2)*$S$65)/(100*$C$20)</f>
        <v>7.7948092513799999E-2</v>
      </c>
      <c r="AI63" s="1742">
        <f>((AJ17^2+AK17^2)*$C$65/1000+(AJ18^2+AK18^2)*$G$65/1000+(AJ19^2+AK19^2)*$K$65/1000)/$C$20^2</f>
        <v>3.124627713207E-3</v>
      </c>
      <c r="AJ63" s="1743" t="s">
        <v>2</v>
      </c>
      <c r="AK63" s="1744">
        <f>((AJ17^2+AK17^2)*$M$65+(AJ18^2+AK18^2)*$O$65+(AJ19^2+AK19^2)*$S$65)/(100*$C$20)</f>
        <v>7.8155383463999986E-2</v>
      </c>
      <c r="AL63" s="1742">
        <f>((AM17^2+AN17^2)*$C$65/1000+(AM18^2+AN18^2)*$G$65/1000+(AM19^2+AN19^2)*$K$65/1000)/$C$20^2</f>
        <v>3.1262027586451886E-3</v>
      </c>
      <c r="AM63" s="1743" t="s">
        <v>2</v>
      </c>
      <c r="AN63" s="1744">
        <f>((AM17^2+AN17^2)*$M$65+(AM18^2+AN18^2)*$O$65+(AM19^2+AN19^2)*$S$65)/(100*$C$20)</f>
        <v>7.8045528156300004E-2</v>
      </c>
      <c r="AO63" s="1742">
        <f>((AP17^2+AQ17^2)*$C$65/1000+(AP18^2+AQ18^2)*$G$65/1000+(AP19^2+AQ19^2)*$K$65/1000)/$C$20^2</f>
        <v>3.1155267016383758E-3</v>
      </c>
      <c r="AP63" s="1743" t="s">
        <v>2</v>
      </c>
      <c r="AQ63" s="1744">
        <f>((AP17^2+AQ17^2)*$M$65+(AP18^2+AQ18^2)*$O$65+(AP19^2+AQ19^2)*$S$65)/(100*$C$20)</f>
        <v>7.7849798279400015E-2</v>
      </c>
      <c r="AR63" s="1742">
        <f>((AS17^2+AT17^2)*$C$65/1000+(AS18^2+AT18^2)*$G$65/1000+(AS19^2+AT19^2)*$K$65/1000)/$C$20^2</f>
        <v>3.0838677397773758E-3</v>
      </c>
      <c r="AS63" s="1743" t="s">
        <v>2</v>
      </c>
      <c r="AT63" s="1744">
        <f>((AS17^2+AT17^2)*$M$65+(AS18^2+AT18^2)*$O$65+(AS19^2+AT19^2)*$S$65)/(100*$C$20)</f>
        <v>7.7042005559100027E-2</v>
      </c>
      <c r="AU63" s="1742">
        <f>((AV17^2+AW17^2)*$C$65/1000+(AV18^2+AW18^2)*$G$65/1000+(AV19^2+AW19^2)*$K$65/1000)/$C$20^2</f>
        <v>2.9913235502467498E-3</v>
      </c>
      <c r="AV63" s="1743" t="s">
        <v>2</v>
      </c>
      <c r="AW63" s="1744">
        <f>((AV17^2+AW17^2)*$M$65+(AV18^2+AW18^2)*$O$65+(AV19^2+AW19^2)*$S$65)/(100*$C$20)</f>
        <v>7.4623135906800003E-2</v>
      </c>
      <c r="AX63" s="1742">
        <f>((AY17^2+AZ17^2)*$C$65/1000+(AY18^2+AZ18^2)*$G$65/1000+(AY19^2+AZ19^2)*$K$65/1000)/$C$20^2</f>
        <v>1.2717671894971875E-3</v>
      </c>
      <c r="AY63" s="1743" t="s">
        <v>2</v>
      </c>
      <c r="AZ63" s="1744">
        <f>((AY17^2+AZ17^2)*$M$65+(AY18^2+AZ18^2)*$O$65+(AY19^2+AZ19^2)*$S$65)/(100*$C$20)</f>
        <v>3.5272548200699999E-2</v>
      </c>
      <c r="BA63" s="1742">
        <f>((BB17^2+BC17^2)*$C$65/1000+(BB18^2+BC18^2)*$G$65/1000+(BB19^2+BC19^2)*$K$65/1000)/$C$20^2</f>
        <v>1.2079322994532498E-3</v>
      </c>
      <c r="BB63" s="1743" t="s">
        <v>2</v>
      </c>
      <c r="BC63" s="1744">
        <f>((BB17^2+BC17^2)*$M$65+(BB18^2+BC18^2)*$O$65+(BB19^2+BC19^2)*$S$65)/(100*$C$20)</f>
        <v>3.3781543411499998E-2</v>
      </c>
      <c r="BD63" s="1742">
        <f>((BE17^2+BF17^2)*$C$65/1000+(BE18^2+BF18^2)*$G$65/1000+(BE19^2+BF19^2)*$K$65/1000)/$C$20^2</f>
        <v>1.2767681218027499E-3</v>
      </c>
      <c r="BE63" s="1743" t="s">
        <v>2</v>
      </c>
      <c r="BF63" s="1744">
        <f>((BE17^2+BF17^2)*$M$65+(BE18^2+BF18^2)*$O$65+(BE19^2+BF19^2)*$S$65)/(100*$C$20)</f>
        <v>3.560772609E-2</v>
      </c>
      <c r="BG63" s="1742">
        <f>((BH17^2+BI17^2)*$C$65/1000+(BH18^2+BI18^2)*$G$65/1000+(BH19^2+BI19^2)*$K$65/1000)/$C$20^2</f>
        <v>1.2503587314909375E-3</v>
      </c>
      <c r="BH63" s="1743" t="s">
        <v>2</v>
      </c>
      <c r="BI63" s="1744">
        <f>((BH17^2+BI17^2)*$M$65+(BH18^2+BI18^2)*$O$65+(BH19^2+BI19^2)*$S$65)/(100*$C$20)</f>
        <v>3.4884157077899998E-2</v>
      </c>
      <c r="BJ63" s="1742">
        <f>((BK17^2+BL17^2)*$C$65/1000+(BK18^2+BL18^2)*$G$65/1000+(BK19^2+BL19^2)*$K$65/1000)/$C$20^2</f>
        <v>1.2608227306456876E-3</v>
      </c>
      <c r="BK63" s="1743" t="s">
        <v>2</v>
      </c>
      <c r="BL63" s="1744">
        <f>((BK17^2+BL17^2)*$M$65+(BK18^2+BL18^2)*$O$65+(BK19^2+BL19^2)*$S$65)/(100*$C$20)</f>
        <v>3.5195789892599999E-2</v>
      </c>
      <c r="BM63" s="1742">
        <f>((BN17^2+BO17^2)*$C$65/1000+(BN18^2+BO18^2)*$G$65/1000+(BN19^2+BO19^2)*$K$65/1000)/$C$20^2</f>
        <v>1.3120094374081878E-3</v>
      </c>
      <c r="BN63" s="1743" t="s">
        <v>2</v>
      </c>
      <c r="BO63" s="1744">
        <f>((BN17^2+BO17^2)*$M$65+(BN18^2+BO18^2)*$O$65+(BN19^2+BO19^2)*$S$65)/(100*$C$20)</f>
        <v>3.6474109717500008E-2</v>
      </c>
      <c r="BP63" s="1742">
        <f>((BQ17^2+BR17^2)*$C$65/1000+(BQ18^2+BR18^2)*$G$65/1000+(BQ19^2+BR19^2)*$K$65/1000)/$C$20^2</f>
        <v>1.3363205200216874E-3</v>
      </c>
      <c r="BQ63" s="1743" t="s">
        <v>2</v>
      </c>
      <c r="BR63" s="1744">
        <f>((BQ17^2+BR17^2)*$M$65+(BQ18^2+BR18^2)*$O$65+(BQ19^2+BR19^2)*$S$65)/(100*$C$20)</f>
        <v>3.7152743590800001E-2</v>
      </c>
      <c r="BS63" s="1742">
        <f>((BT17^2+BU17^2)*$C$65/1000+(BT18^2+BU18^2)*$G$65/1000+(BT19^2+BU19^2)*$K$65/1000)/$C$20^2</f>
        <v>1.2966056313153751E-3</v>
      </c>
      <c r="BT63" s="1743" t="s">
        <v>2</v>
      </c>
      <c r="BU63" s="1744">
        <f>((BT17^2+BU17^2)*$M$65+(BT18^2+BU18^2)*$O$65+(BT19^2+BU19^2)*$S$65)/(100*$C$20)</f>
        <v>3.5875633195799998E-2</v>
      </c>
      <c r="BV63" s="1742">
        <f>((BW17^2+BX17^2)*$C$65/1000+(BW18^2+BX18^2)*$G$65/1000+(BW19^2+BX19^2)*$K$65/1000)/$C$20^2</f>
        <v>2.2280674171612502E-3</v>
      </c>
      <c r="BW63" s="1743" t="s">
        <v>2</v>
      </c>
      <c r="BX63" s="1744">
        <f>((BW17^2+BX17^2)*$M$65+(BW18^2+BX18^2)*$O$65+(BW19^2+BX19^2)*$S$65)/(100*$C$20)</f>
        <v>5.7690018895499996E-2</v>
      </c>
      <c r="BY63" s="1742">
        <f>((BZ17^2+CA17^2)*$C$65/1000+(BZ18^2+CA18^2)*$G$65/1000+(BZ19^2+CA19^2)*$K$65/1000)/$C$20^2</f>
        <v>2.3059609103868754E-3</v>
      </c>
      <c r="BZ63" s="1743" t="s">
        <v>2</v>
      </c>
      <c r="CA63" s="1744">
        <f>((BZ17^2+CA17^2)*$M$65+(BZ18^2+CA18^2)*$O$65+(BZ19^2+CA19^2)*$S$65)/(100*$C$20)</f>
        <v>5.9158393191900006E-2</v>
      </c>
    </row>
    <row r="64" spans="1:81" x14ac:dyDescent="0.2">
      <c r="A64" s="1768"/>
      <c r="B64" s="1769" t="s">
        <v>394</v>
      </c>
      <c r="C64" s="1746">
        <v>32.5</v>
      </c>
      <c r="D64" s="1747"/>
      <c r="E64" s="1747"/>
      <c r="F64" s="1748" t="s">
        <v>395</v>
      </c>
      <c r="G64" s="1749">
        <v>46.4</v>
      </c>
      <c r="H64" s="1608"/>
      <c r="I64" s="1623"/>
      <c r="J64" s="1770"/>
      <c r="K64" s="1771"/>
      <c r="L64" s="1772"/>
      <c r="M64" s="1773"/>
      <c r="N64" s="1608"/>
      <c r="O64" s="1623"/>
      <c r="P64" s="1770"/>
      <c r="Q64" s="1771"/>
      <c r="R64" s="1772"/>
      <c r="S64" s="1773"/>
      <c r="T64" s="1774"/>
      <c r="U64" s="1775"/>
      <c r="V64" s="1770"/>
      <c r="W64" s="1771"/>
      <c r="X64" s="1772"/>
      <c r="Y64" s="1773"/>
      <c r="Z64" s="1771"/>
      <c r="AA64" s="1772"/>
      <c r="AB64" s="1773"/>
      <c r="AC64" s="1771"/>
      <c r="AD64" s="1772"/>
      <c r="AE64" s="1773"/>
      <c r="AF64" s="1771"/>
      <c r="AG64" s="1772"/>
      <c r="AH64" s="1773"/>
      <c r="AI64" s="1771"/>
      <c r="AJ64" s="1772"/>
      <c r="AK64" s="1773"/>
      <c r="AL64" s="1771"/>
      <c r="AM64" s="1772"/>
      <c r="AN64" s="1773"/>
      <c r="AO64" s="1771"/>
      <c r="AP64" s="1772"/>
      <c r="AQ64" s="1773"/>
      <c r="AR64" s="1771"/>
      <c r="AS64" s="1772"/>
      <c r="AT64" s="1773"/>
      <c r="AU64" s="1771"/>
      <c r="AV64" s="1772"/>
      <c r="AW64" s="1773"/>
      <c r="AX64" s="1771"/>
      <c r="AY64" s="1772"/>
      <c r="AZ64" s="1773"/>
      <c r="BA64" s="1771"/>
      <c r="BB64" s="1772"/>
      <c r="BC64" s="1773"/>
      <c r="BD64" s="1771"/>
      <c r="BE64" s="1772"/>
      <c r="BF64" s="1773"/>
      <c r="BG64" s="1771"/>
      <c r="BH64" s="1772"/>
      <c r="BI64" s="1773"/>
      <c r="BJ64" s="1771"/>
      <c r="BK64" s="1772"/>
      <c r="BL64" s="1773"/>
      <c r="BM64" s="1771"/>
      <c r="BN64" s="1772"/>
      <c r="BO64" s="1773"/>
      <c r="BP64" s="1771"/>
      <c r="BQ64" s="1772"/>
      <c r="BR64" s="1773"/>
      <c r="BS64" s="1771"/>
      <c r="BT64" s="1772"/>
      <c r="BU64" s="1773"/>
      <c r="BV64" s="1771"/>
      <c r="BW64" s="1772"/>
      <c r="BX64" s="1773"/>
      <c r="BY64" s="1771"/>
      <c r="BZ64" s="1772"/>
      <c r="CA64" s="1773"/>
    </row>
    <row r="65" spans="1:256" ht="13.5" thickBot="1" x14ac:dyDescent="0.25">
      <c r="A65" s="1768"/>
      <c r="B65" s="1776" t="s">
        <v>59</v>
      </c>
      <c r="C65" s="1777">
        <v>136.4</v>
      </c>
      <c r="D65" s="1730"/>
      <c r="E65" s="1760" t="s">
        <v>58</v>
      </c>
      <c r="F65" s="1761"/>
      <c r="G65" s="1730">
        <v>70.67</v>
      </c>
      <c r="H65" s="1633"/>
      <c r="I65" s="1489"/>
      <c r="J65" s="1490" t="s">
        <v>57</v>
      </c>
      <c r="K65" s="1762">
        <v>110.8</v>
      </c>
      <c r="L65" s="1762" t="s">
        <v>53</v>
      </c>
      <c r="M65" s="1763">
        <v>10.68</v>
      </c>
      <c r="N65" s="1633"/>
      <c r="O65" s="1489"/>
      <c r="P65" s="1490" t="s">
        <v>57</v>
      </c>
      <c r="Q65" s="1762">
        <v>110.8</v>
      </c>
      <c r="R65" s="1762" t="s">
        <v>53</v>
      </c>
      <c r="S65" s="1763">
        <v>10.68</v>
      </c>
      <c r="T65" s="1633" t="s">
        <v>54</v>
      </c>
      <c r="U65" s="1759">
        <v>-0.4</v>
      </c>
      <c r="V65" s="1490"/>
      <c r="W65" s="1762">
        <v>0</v>
      </c>
      <c r="X65" s="1762" t="s">
        <v>56</v>
      </c>
      <c r="Y65" s="1778">
        <v>7.2</v>
      </c>
      <c r="Z65" s="1762">
        <v>0</v>
      </c>
      <c r="AA65" s="1762"/>
      <c r="AB65" s="1763"/>
      <c r="AC65" s="1762"/>
      <c r="AD65" s="1762"/>
      <c r="AE65" s="1763"/>
      <c r="AF65" s="1762"/>
      <c r="AG65" s="1762"/>
      <c r="AH65" s="1763"/>
      <c r="AI65" s="1762"/>
      <c r="AJ65" s="1762"/>
      <c r="AK65" s="1763"/>
      <c r="AL65" s="1762"/>
      <c r="AM65" s="1762"/>
      <c r="AN65" s="1763"/>
      <c r="AO65" s="1762"/>
      <c r="AP65" s="1762"/>
      <c r="AQ65" s="1763"/>
      <c r="AR65" s="1762"/>
      <c r="AS65" s="1762"/>
      <c r="AT65" s="1763"/>
      <c r="AU65" s="1762"/>
      <c r="AV65" s="1762"/>
      <c r="AW65" s="1763"/>
      <c r="AX65" s="1762"/>
      <c r="AY65" s="1762"/>
      <c r="AZ65" s="1763"/>
      <c r="BA65" s="1762"/>
      <c r="BB65" s="1762"/>
      <c r="BC65" s="1763"/>
      <c r="BD65" s="1762"/>
      <c r="BE65" s="1762"/>
      <c r="BF65" s="1763"/>
      <c r="BG65" s="1762"/>
      <c r="BH65" s="1762"/>
      <c r="BI65" s="1763"/>
      <c r="BJ65" s="1762"/>
      <c r="BK65" s="1762"/>
      <c r="BL65" s="1763"/>
      <c r="BM65" s="1762"/>
      <c r="BN65" s="1762"/>
      <c r="BO65" s="1763"/>
      <c r="BP65" s="1762"/>
      <c r="BQ65" s="1762"/>
      <c r="BR65" s="1763"/>
      <c r="BS65" s="1762"/>
      <c r="BT65" s="1762"/>
      <c r="BU65" s="1763"/>
      <c r="BV65" s="1762"/>
      <c r="BW65" s="1762"/>
      <c r="BX65" s="1763"/>
      <c r="BY65" s="1762"/>
      <c r="BZ65" s="1762"/>
      <c r="CA65" s="1763"/>
    </row>
    <row r="66" spans="1:256" ht="13.5" thickBot="1" x14ac:dyDescent="0.25">
      <c r="A66" s="1616"/>
      <c r="B66" s="2415" t="s">
        <v>29</v>
      </c>
      <c r="C66" s="2416"/>
      <c r="D66" s="2416"/>
      <c r="E66" s="2416"/>
      <c r="F66" s="2416"/>
      <c r="G66" s="2417"/>
      <c r="H66" s="1764">
        <f>I17</f>
        <v>5.016</v>
      </c>
      <c r="I66" s="1765" t="s">
        <v>2</v>
      </c>
      <c r="J66" s="1766">
        <f>J17</f>
        <v>0.66659999999999986</v>
      </c>
      <c r="K66" s="1764">
        <f>L17</f>
        <v>4.9631999999999996</v>
      </c>
      <c r="L66" s="1765" t="s">
        <v>2</v>
      </c>
      <c r="M66" s="1766">
        <f>M17</f>
        <v>0.65339999999999998</v>
      </c>
      <c r="N66" s="1764">
        <f>O17</f>
        <v>4.9829999999999997</v>
      </c>
      <c r="O66" s="1765" t="s">
        <v>2</v>
      </c>
      <c r="P66" s="1766">
        <f>P17</f>
        <v>0.66</v>
      </c>
      <c r="Q66" s="1764">
        <f>R17</f>
        <v>4.9566000000000008</v>
      </c>
      <c r="R66" s="1765" t="s">
        <v>2</v>
      </c>
      <c r="S66" s="1766">
        <f>S17</f>
        <v>0.66659999999999997</v>
      </c>
      <c r="T66" s="1764">
        <f>U17</f>
        <v>5.0621999999999998</v>
      </c>
      <c r="U66" s="1765" t="s">
        <v>2</v>
      </c>
      <c r="V66" s="1766">
        <f>V17</f>
        <v>0.67320000000000002</v>
      </c>
      <c r="W66" s="1764">
        <f>X17</f>
        <v>5.0688000000000004</v>
      </c>
      <c r="X66" s="1765" t="s">
        <v>2</v>
      </c>
      <c r="Y66" s="1766">
        <f>Y17</f>
        <v>0.65339999999999998</v>
      </c>
      <c r="Z66" s="1764">
        <f>AA17</f>
        <v>5.1215999999999999</v>
      </c>
      <c r="AA66" s="1765" t="s">
        <v>2</v>
      </c>
      <c r="AB66" s="1766">
        <f>AB17</f>
        <v>0.65339999999999998</v>
      </c>
      <c r="AC66" s="1764">
        <f>AD17</f>
        <v>5.1348000000000003</v>
      </c>
      <c r="AD66" s="1765" t="s">
        <v>2</v>
      </c>
      <c r="AE66" s="1766">
        <f>AE17</f>
        <v>0.64019999999999999</v>
      </c>
      <c r="AF66" s="1764">
        <f>AG17</f>
        <v>5.1942000000000004</v>
      </c>
      <c r="AG66" s="1765" t="s">
        <v>2</v>
      </c>
      <c r="AH66" s="1766">
        <f>AH17</f>
        <v>0.66</v>
      </c>
      <c r="AI66" s="1779">
        <f>AJ17</f>
        <v>5.1941999999999995</v>
      </c>
      <c r="AJ66" s="1780" t="s">
        <v>2</v>
      </c>
      <c r="AK66" s="1781">
        <f>AK17</f>
        <v>0.66659999999999997</v>
      </c>
      <c r="AL66" s="1779">
        <f>AL63+AL62+AM17</f>
        <v>5.2298262027586455</v>
      </c>
      <c r="AM66" s="1780" t="s">
        <v>2</v>
      </c>
      <c r="AN66" s="1781">
        <f>AN62+AN63+AN17</f>
        <v>0.78444552815630009</v>
      </c>
      <c r="AO66" s="1779">
        <f>AO63+AO62+AP17</f>
        <v>5.2232155267016394</v>
      </c>
      <c r="AP66" s="1780" t="s">
        <v>2</v>
      </c>
      <c r="AQ66" s="1781">
        <f>AQ62+AQ63+AQ17</f>
        <v>0.77764979827939995</v>
      </c>
      <c r="AR66" s="1779">
        <f>AR63+AR62+AS17</f>
        <v>5.1967838677397786</v>
      </c>
      <c r="AS66" s="1780" t="s">
        <v>2</v>
      </c>
      <c r="AT66" s="1781">
        <f>AT62+AT63+AT17</f>
        <v>0.7636420055591</v>
      </c>
      <c r="AU66" s="1779">
        <f>AU63+AU62+AV17</f>
        <v>5.1174913235502464</v>
      </c>
      <c r="AV66" s="1780" t="s">
        <v>2</v>
      </c>
      <c r="AW66" s="1781">
        <f>AW62+AW63+AW17</f>
        <v>0.76122313590680002</v>
      </c>
      <c r="AX66" s="1779">
        <f>AX63+AX62+AY17</f>
        <v>3.3997717671894971</v>
      </c>
      <c r="AY66" s="1780" t="s">
        <v>2</v>
      </c>
      <c r="AZ66" s="1781">
        <f>AZ62+AZ63+AZ17</f>
        <v>0.27307254820070004</v>
      </c>
      <c r="BA66" s="1779">
        <f>BA63+BA62+BB17</f>
        <v>3.3139079322994531</v>
      </c>
      <c r="BB66" s="1780" t="s">
        <v>2</v>
      </c>
      <c r="BC66" s="1781">
        <f>BC62+BC63+BC17</f>
        <v>0.20558154341150001</v>
      </c>
      <c r="BD66" s="1779">
        <f>BD63+BD62+BE17</f>
        <v>3.4063767681218029</v>
      </c>
      <c r="BE66" s="1780" t="s">
        <v>2</v>
      </c>
      <c r="BF66" s="1781">
        <f>BF62+BF63+BF17</f>
        <v>0.23380772609</v>
      </c>
      <c r="BG66" s="1779">
        <f>BG63+BG62+BH17</f>
        <v>3.373350358731491</v>
      </c>
      <c r="BH66" s="1780" t="s">
        <v>2</v>
      </c>
      <c r="BI66" s="1781">
        <f>BI62+BI63+BI17</f>
        <v>0.21988415707789999</v>
      </c>
      <c r="BJ66" s="1779">
        <f>BJ63+BJ62+BK17</f>
        <v>3.3865608227306461</v>
      </c>
      <c r="BK66" s="1780" t="s">
        <v>2</v>
      </c>
      <c r="BL66" s="1781">
        <f>BL62+BL63+BL17</f>
        <v>0.20039578989259998</v>
      </c>
      <c r="BM66" s="1779">
        <f>BM63+BM62+BN17</f>
        <v>3.4526120094374084</v>
      </c>
      <c r="BN66" s="1780" t="s">
        <v>2</v>
      </c>
      <c r="BO66" s="1781">
        <f>BO62+BO63+BO17</f>
        <v>0.24127410971749999</v>
      </c>
      <c r="BP66" s="1779">
        <f>BP63+BP62+BQ17</f>
        <v>3.4856363205200216</v>
      </c>
      <c r="BQ66" s="1780" t="s">
        <v>2</v>
      </c>
      <c r="BR66" s="1781">
        <f>BR62+BR63+BR17</f>
        <v>0.24855274359080001</v>
      </c>
      <c r="BS66" s="1779">
        <f>BS63+BS62+BT17</f>
        <v>3.4327966056313155</v>
      </c>
      <c r="BT66" s="1780" t="s">
        <v>2</v>
      </c>
      <c r="BU66" s="1781">
        <f>BU62+BU63+BU17</f>
        <v>0.23407563319580002</v>
      </c>
      <c r="BV66" s="1779">
        <f>BV63+BV62+BW17</f>
        <v>4.450128067417161</v>
      </c>
      <c r="BW66" s="1780" t="s">
        <v>2</v>
      </c>
      <c r="BX66" s="1781">
        <f>BX62+BX63+BX17</f>
        <v>0.61229001889549994</v>
      </c>
      <c r="BY66" s="1779">
        <f>BY63+BY62+BZ17</f>
        <v>4.5294059609103874</v>
      </c>
      <c r="BZ66" s="1780" t="s">
        <v>2</v>
      </c>
      <c r="CA66" s="1781">
        <f>CA62+CA63+CA17</f>
        <v>0.5609583931919</v>
      </c>
      <c r="CB66" s="1369"/>
      <c r="CC66" s="1435"/>
      <c r="CD66" s="1369"/>
      <c r="CE66" s="1369"/>
      <c r="CF66" s="1369"/>
      <c r="CG66" s="1369"/>
      <c r="CH66" s="1369"/>
      <c r="CI66" s="1369"/>
      <c r="CJ66" s="1369"/>
      <c r="CK66" s="1369"/>
      <c r="CL66" s="1369"/>
      <c r="CM66" s="1369"/>
      <c r="CN66" s="1369"/>
      <c r="CO66" s="1369"/>
      <c r="CP66" s="1369"/>
      <c r="CQ66" s="1369"/>
      <c r="CR66" s="1369"/>
      <c r="CS66" s="1369"/>
      <c r="CT66" s="1369"/>
      <c r="CU66" s="1369"/>
      <c r="CV66" s="1369"/>
      <c r="CW66" s="1369"/>
      <c r="CX66" s="1369"/>
      <c r="CY66" s="1369"/>
      <c r="CZ66" s="1369"/>
      <c r="DA66" s="1369"/>
      <c r="DB66" s="1369"/>
      <c r="DC66" s="1369"/>
      <c r="DD66" s="1369"/>
      <c r="DE66" s="1369"/>
      <c r="DF66" s="1369"/>
      <c r="DG66" s="1369"/>
      <c r="DH66" s="1369"/>
      <c r="DI66" s="1369"/>
      <c r="DJ66" s="1369"/>
      <c r="DK66" s="1369"/>
      <c r="DL66" s="1369"/>
      <c r="DM66" s="1369"/>
      <c r="DN66" s="1369"/>
      <c r="DO66" s="1369"/>
      <c r="DP66" s="1369"/>
      <c r="DQ66" s="1369"/>
      <c r="DR66" s="1369"/>
      <c r="DS66" s="1369"/>
      <c r="DT66" s="1369"/>
      <c r="DU66" s="1369"/>
      <c r="DV66" s="1369"/>
      <c r="DW66" s="1369"/>
      <c r="DX66" s="1369"/>
      <c r="DY66" s="1369"/>
      <c r="DZ66" s="1369"/>
      <c r="EA66" s="1369"/>
      <c r="EB66" s="1369"/>
      <c r="EC66" s="1369"/>
      <c r="ED66" s="1369"/>
      <c r="EE66" s="1369"/>
      <c r="EF66" s="1369"/>
      <c r="EG66" s="1369"/>
      <c r="EH66" s="1369"/>
      <c r="EI66" s="1369"/>
      <c r="EJ66" s="1369"/>
      <c r="EK66" s="1369"/>
      <c r="EL66" s="1369"/>
      <c r="EM66" s="1369"/>
      <c r="EN66" s="1369"/>
      <c r="EO66" s="1369"/>
      <c r="EP66" s="1369"/>
      <c r="EQ66" s="1369"/>
      <c r="ER66" s="1369"/>
      <c r="ES66" s="1369"/>
      <c r="ET66" s="1369"/>
      <c r="EU66" s="1369"/>
      <c r="EV66" s="1369"/>
      <c r="EW66" s="1369"/>
      <c r="EX66" s="1369"/>
      <c r="EY66" s="1369"/>
      <c r="EZ66" s="1369"/>
      <c r="FA66" s="1369"/>
      <c r="FB66" s="1369"/>
      <c r="FC66" s="1369"/>
      <c r="FD66" s="1369"/>
      <c r="FE66" s="1369"/>
      <c r="FF66" s="1369"/>
      <c r="FG66" s="1369"/>
      <c r="FH66" s="1369"/>
      <c r="FI66" s="1369"/>
      <c r="FJ66" s="1369"/>
      <c r="FK66" s="1369"/>
      <c r="FL66" s="1369"/>
      <c r="FM66" s="1369"/>
      <c r="FN66" s="1369"/>
      <c r="FO66" s="1369"/>
      <c r="FP66" s="1369"/>
      <c r="FQ66" s="1369"/>
      <c r="FR66" s="1369"/>
      <c r="FS66" s="1369"/>
      <c r="FT66" s="1369"/>
      <c r="FU66" s="1369"/>
      <c r="FV66" s="1369"/>
      <c r="FW66" s="1369"/>
      <c r="FX66" s="1369"/>
      <c r="FY66" s="1369"/>
      <c r="FZ66" s="1369"/>
      <c r="GA66" s="1369"/>
      <c r="GB66" s="1369"/>
      <c r="GC66" s="1369"/>
      <c r="GD66" s="1369"/>
      <c r="GE66" s="1369"/>
      <c r="GF66" s="1369"/>
      <c r="GG66" s="1369"/>
      <c r="GH66" s="1369"/>
      <c r="GI66" s="1369"/>
      <c r="GJ66" s="1369"/>
      <c r="GK66" s="1369"/>
      <c r="GL66" s="1369"/>
      <c r="GM66" s="1369"/>
      <c r="GN66" s="1369"/>
      <c r="GO66" s="1369"/>
      <c r="GP66" s="1369"/>
      <c r="GQ66" s="1369"/>
      <c r="GR66" s="1369"/>
      <c r="GS66" s="1369"/>
      <c r="GT66" s="1369"/>
      <c r="GU66" s="1369"/>
      <c r="GV66" s="1369"/>
      <c r="GW66" s="1369"/>
      <c r="GX66" s="1369"/>
      <c r="GY66" s="1369"/>
      <c r="GZ66" s="1369"/>
      <c r="HA66" s="1369"/>
      <c r="HB66" s="1369"/>
      <c r="HC66" s="1369"/>
      <c r="HD66" s="1369"/>
      <c r="HE66" s="1369"/>
      <c r="HF66" s="1369"/>
      <c r="HG66" s="1369"/>
      <c r="HH66" s="1369"/>
      <c r="HI66" s="1369"/>
      <c r="HJ66" s="1369"/>
      <c r="HK66" s="1369"/>
      <c r="HL66" s="1369"/>
      <c r="HM66" s="1369"/>
      <c r="HN66" s="1369"/>
      <c r="HO66" s="1369"/>
      <c r="HP66" s="1369"/>
      <c r="HQ66" s="1369"/>
      <c r="HR66" s="1369"/>
      <c r="HS66" s="1369"/>
      <c r="HT66" s="1369"/>
      <c r="HU66" s="1369"/>
      <c r="HV66" s="1369"/>
      <c r="HW66" s="1369"/>
      <c r="HX66" s="1369"/>
      <c r="HY66" s="1369"/>
      <c r="HZ66" s="1369"/>
      <c r="IA66" s="1369"/>
      <c r="IB66" s="1369"/>
      <c r="IC66" s="1369"/>
      <c r="ID66" s="1369"/>
      <c r="IE66" s="1369"/>
      <c r="IF66" s="1369"/>
      <c r="IG66" s="1369"/>
      <c r="IH66" s="1369"/>
      <c r="II66" s="1369"/>
      <c r="IJ66" s="1369"/>
      <c r="IK66" s="1369"/>
      <c r="IL66" s="1369"/>
      <c r="IM66" s="1369"/>
      <c r="IN66" s="1369"/>
      <c r="IO66" s="1369"/>
      <c r="IP66" s="1369"/>
      <c r="IQ66" s="1369"/>
      <c r="IR66" s="1369"/>
      <c r="IS66" s="1369"/>
      <c r="IT66" s="1369"/>
      <c r="IU66" s="1369"/>
      <c r="IV66" s="1369"/>
    </row>
    <row r="67" spans="1:256" x14ac:dyDescent="0.2">
      <c r="A67" s="1782" t="s">
        <v>20</v>
      </c>
      <c r="B67" s="1783"/>
      <c r="C67" s="1731"/>
      <c r="D67" s="1641"/>
      <c r="E67" s="1623"/>
      <c r="F67" s="470"/>
      <c r="G67" s="1611"/>
      <c r="H67" s="1784"/>
      <c r="I67" s="1785"/>
      <c r="J67" s="1786"/>
      <c r="K67" s="1787"/>
      <c r="L67" s="1788"/>
      <c r="M67" s="1786"/>
      <c r="N67" s="1784"/>
      <c r="O67" s="1785"/>
      <c r="P67" s="1786"/>
      <c r="Q67" s="1787"/>
      <c r="R67" s="1788"/>
      <c r="S67" s="1786"/>
      <c r="T67" s="1787"/>
      <c r="U67" s="1788"/>
      <c r="V67" s="1786"/>
      <c r="W67" s="1787"/>
      <c r="X67" s="1788"/>
      <c r="Y67" s="1786"/>
      <c r="Z67" s="1787"/>
      <c r="AA67" s="1788"/>
      <c r="AB67" s="1786"/>
      <c r="AC67" s="1787"/>
      <c r="AD67" s="1788"/>
      <c r="AE67" s="1786"/>
      <c r="AF67" s="1787"/>
      <c r="AG67" s="1788"/>
      <c r="AH67" s="1786"/>
      <c r="AI67" s="1787"/>
      <c r="AJ67" s="1788"/>
      <c r="AK67" s="1786"/>
      <c r="AL67" s="1787"/>
      <c r="AM67" s="1788"/>
      <c r="AN67" s="1786"/>
      <c r="AO67" s="1787"/>
      <c r="AP67" s="1788"/>
      <c r="AQ67" s="1786"/>
      <c r="AR67" s="1787"/>
      <c r="AS67" s="1788"/>
      <c r="AT67" s="1786"/>
      <c r="AU67" s="1787"/>
      <c r="AV67" s="1788"/>
      <c r="AW67" s="1786"/>
      <c r="AX67" s="1787"/>
      <c r="AY67" s="1788"/>
      <c r="AZ67" s="1786"/>
      <c r="BA67" s="1787"/>
      <c r="BB67" s="1788"/>
      <c r="BC67" s="1786"/>
      <c r="BD67" s="1787"/>
      <c r="BE67" s="1788"/>
      <c r="BF67" s="1786"/>
      <c r="BG67" s="1787"/>
      <c r="BH67" s="1788"/>
      <c r="BI67" s="1786"/>
      <c r="BJ67" s="1787"/>
      <c r="BK67" s="1788"/>
      <c r="BL67" s="1786"/>
      <c r="BM67" s="1787"/>
      <c r="BN67" s="1788"/>
      <c r="BO67" s="1786"/>
      <c r="BP67" s="1787"/>
      <c r="BQ67" s="1788"/>
      <c r="BR67" s="1786"/>
      <c r="BS67" s="1787"/>
      <c r="BT67" s="1788"/>
      <c r="BU67" s="1786"/>
      <c r="BV67" s="1787"/>
      <c r="BW67" s="1788"/>
      <c r="BX67" s="1786"/>
      <c r="BY67" s="1787"/>
      <c r="BZ67" s="1788"/>
      <c r="CA67" s="1786"/>
    </row>
    <row r="68" spans="1:256" ht="15.75" thickBot="1" x14ac:dyDescent="0.3">
      <c r="A68" s="1789" t="s">
        <v>21</v>
      </c>
      <c r="B68" s="1790"/>
      <c r="C68" s="1791"/>
      <c r="D68" s="1790"/>
      <c r="E68" s="1634"/>
      <c r="F68" s="1790" t="s">
        <v>25</v>
      </c>
      <c r="G68" s="1636"/>
      <c r="H68" s="1792">
        <f>SUM(H61,H66)</f>
        <v>8.5470000000000006</v>
      </c>
      <c r="I68" s="1793" t="s">
        <v>2</v>
      </c>
      <c r="J68" s="1794">
        <f>SUM(J61,J66)</f>
        <v>0.93059999999999987</v>
      </c>
      <c r="K68" s="1792">
        <f>SUM(K61,K66)</f>
        <v>8.4941999999999993</v>
      </c>
      <c r="L68" s="1793" t="s">
        <v>2</v>
      </c>
      <c r="M68" s="1794">
        <f>SUM(M61,M66)</f>
        <v>0.91739999999999999</v>
      </c>
      <c r="N68" s="1792">
        <f>SUM(N61,N66)</f>
        <v>8.5272000000000006</v>
      </c>
      <c r="O68" s="1793" t="s">
        <v>2</v>
      </c>
      <c r="P68" s="1794">
        <f>SUM(P61,P66)</f>
        <v>0.93060000000000009</v>
      </c>
      <c r="Q68" s="1792">
        <f>SUM(Q61,Q66)</f>
        <v>8.4942000000000011</v>
      </c>
      <c r="R68" s="1793" t="s">
        <v>2</v>
      </c>
      <c r="S68" s="1794">
        <f>SUM(S61,S66)</f>
        <v>0.93059999999999998</v>
      </c>
      <c r="T68" s="1792">
        <f>SUM(T61,T66)</f>
        <v>8.5998000000000001</v>
      </c>
      <c r="U68" s="1793" t="s">
        <v>2</v>
      </c>
      <c r="V68" s="1794">
        <f>SUM(V61,V66)</f>
        <v>0.94379999999999997</v>
      </c>
      <c r="W68" s="1792">
        <f>SUM(W61,W66)</f>
        <v>8.6394000000000002</v>
      </c>
      <c r="X68" s="1793" t="s">
        <v>2</v>
      </c>
      <c r="Y68" s="1794">
        <f>SUM(Y61,Y66)</f>
        <v>0.91079999999999994</v>
      </c>
      <c r="Z68" s="1792">
        <f>SUM(Z61,Z66)</f>
        <v>8.6921999999999997</v>
      </c>
      <c r="AA68" s="1793" t="s">
        <v>2</v>
      </c>
      <c r="AB68" s="1794">
        <f>SUM(AB61,AB66)</f>
        <v>0.89759999999999995</v>
      </c>
      <c r="AC68" s="1792">
        <f>SUM(AC61,AC66)</f>
        <v>8.6856000000000009</v>
      </c>
      <c r="AD68" s="1793" t="s">
        <v>2</v>
      </c>
      <c r="AE68" s="1794">
        <f>SUM(AE61,AE66)</f>
        <v>0.85139999999999993</v>
      </c>
      <c r="AF68" s="1792">
        <f>SUM(AF61,AF66)</f>
        <v>8.6988000000000003</v>
      </c>
      <c r="AG68" s="1793" t="s">
        <v>2</v>
      </c>
      <c r="AH68" s="1794">
        <f>SUM(AH61,AH66)</f>
        <v>0.87119999999999997</v>
      </c>
      <c r="AI68" s="1792">
        <f>SUM(AI61,AI66)</f>
        <v>8.6855999999999991</v>
      </c>
      <c r="AJ68" s="1793" t="s">
        <v>2</v>
      </c>
      <c r="AK68" s="1794">
        <f>SUM(AK61,AK66)</f>
        <v>0.87119999999999997</v>
      </c>
      <c r="AL68" s="1792">
        <f>SUM(AL61,AL66)</f>
        <v>8.7014262027586451</v>
      </c>
      <c r="AM68" s="1793" t="s">
        <v>2</v>
      </c>
      <c r="AN68" s="1794">
        <f>SUM(AN61,AN66)</f>
        <v>0.98904552815630009</v>
      </c>
      <c r="AO68" s="1792">
        <f>SUM(AO61,AO66)</f>
        <v>8.7080155267016401</v>
      </c>
      <c r="AP68" s="1793" t="s">
        <v>2</v>
      </c>
      <c r="AQ68" s="1794">
        <f>SUM(AQ61,AQ66)</f>
        <v>0.96904979827939997</v>
      </c>
      <c r="AR68" s="1792">
        <f>SUM(AR61,AR66)</f>
        <v>8.7013838677397786</v>
      </c>
      <c r="AS68" s="1793" t="s">
        <v>2</v>
      </c>
      <c r="AT68" s="1794">
        <f>SUM(AT61,AT66)</f>
        <v>0.94844200555910008</v>
      </c>
      <c r="AU68" s="1792">
        <f>SUM(AU61,AU66)</f>
        <v>8.5824913235502471</v>
      </c>
      <c r="AV68" s="1793" t="s">
        <v>2</v>
      </c>
      <c r="AW68" s="1794">
        <f>SUM(AW61,AW66)</f>
        <v>0.94602313590680009</v>
      </c>
      <c r="AX68" s="1792">
        <f>SUM(AX61,AX66)</f>
        <v>5.6899717671894976</v>
      </c>
      <c r="AY68" s="1793" t="s">
        <v>2</v>
      </c>
      <c r="AZ68" s="1794">
        <f>SUM(AZ61,AZ66)</f>
        <v>0.12127254820070002</v>
      </c>
      <c r="BA68" s="1792">
        <f>SUM(BA61,BA66)</f>
        <v>5.1487079322994536</v>
      </c>
      <c r="BB68" s="1793" t="s">
        <v>2</v>
      </c>
      <c r="BC68" s="1794">
        <f>SUM(BC61,BC66)</f>
        <v>7.5815434114999969E-3</v>
      </c>
      <c r="BD68" s="1792">
        <f>SUM(BD61,BD66)</f>
        <v>5.2741767681218032</v>
      </c>
      <c r="BE68" s="1793" t="s">
        <v>2</v>
      </c>
      <c r="BF68" s="1794">
        <f>SUM(BF61,BF66)</f>
        <v>3.5807726089999992E-2</v>
      </c>
      <c r="BG68" s="1792">
        <f>SUM(BG61,BG66)</f>
        <v>5.1949503587314911</v>
      </c>
      <c r="BH68" s="1793" t="s">
        <v>2</v>
      </c>
      <c r="BI68" s="1794">
        <f>SUM(BI61,BI66)</f>
        <v>2.1884157077899979E-2</v>
      </c>
      <c r="BJ68" s="1792">
        <f>SUM(BJ61,BJ66)</f>
        <v>5.2543608227306464</v>
      </c>
      <c r="BK68" s="1793" t="s">
        <v>2</v>
      </c>
      <c r="BL68" s="1794">
        <f>SUM(BL61,BL66)</f>
        <v>-4.2042101074000193E-3</v>
      </c>
      <c r="BM68" s="1792">
        <f>SUM(BM61,BM66)</f>
        <v>5.3270120094374089</v>
      </c>
      <c r="BN68" s="1793" t="s">
        <v>2</v>
      </c>
      <c r="BO68" s="1794">
        <f>SUM(BO61,BO66)</f>
        <v>4.3274109717499981E-2</v>
      </c>
      <c r="BP68" s="1792">
        <f>SUM(BP61,BP66)</f>
        <v>5.3534363205200215</v>
      </c>
      <c r="BQ68" s="1793" t="s">
        <v>2</v>
      </c>
      <c r="BR68" s="1794">
        <f>SUM(BR61,BR66)</f>
        <v>4.3952743590800009E-2</v>
      </c>
      <c r="BS68" s="1792">
        <f>SUM(BS61,BS66)</f>
        <v>5.6833966056313159</v>
      </c>
      <c r="BT68" s="1793" t="s">
        <v>2</v>
      </c>
      <c r="BU68" s="1794">
        <f>SUM(BU61,BU66)</f>
        <v>0.10867563319580001</v>
      </c>
      <c r="BV68" s="1792">
        <f>SUM(BV61,BV66)</f>
        <v>7.5983280674171603</v>
      </c>
      <c r="BW68" s="1793" t="s">
        <v>2</v>
      </c>
      <c r="BX68" s="1794">
        <f>SUM(BX61,BX66)</f>
        <v>0.79049001889549997</v>
      </c>
      <c r="BY68" s="1792">
        <f>SUM(BY61,BY66)</f>
        <v>7.7898059609103871</v>
      </c>
      <c r="BZ68" s="1793" t="s">
        <v>2</v>
      </c>
      <c r="CA68" s="1794">
        <f>SUM(CA61,CA66)</f>
        <v>0.56755839319190005</v>
      </c>
    </row>
    <row r="69" spans="1:256" x14ac:dyDescent="0.2">
      <c r="A69" s="1369"/>
      <c r="B69" s="1369"/>
      <c r="C69" s="1369"/>
      <c r="D69" s="1369"/>
      <c r="E69" s="1369" t="s">
        <v>107</v>
      </c>
      <c r="F69" s="1369"/>
      <c r="G69" s="1369"/>
      <c r="H69" s="1369"/>
      <c r="I69" s="1434">
        <f>J68/H68</f>
        <v>0.10888030888030886</v>
      </c>
      <c r="J69" s="1369"/>
      <c r="K69" s="1369"/>
      <c r="L69" s="1434">
        <f>M68/K68</f>
        <v>0.10800310800310801</v>
      </c>
      <c r="M69" s="1369"/>
      <c r="N69" s="1369"/>
      <c r="O69" s="1434">
        <f>P68/N68</f>
        <v>0.10913312693498452</v>
      </c>
      <c r="P69" s="1369"/>
      <c r="Q69" s="1369"/>
      <c r="R69" s="1434">
        <f>S68/Q68</f>
        <v>0.10955710955710954</v>
      </c>
      <c r="S69" s="1369"/>
      <c r="T69" s="1369"/>
      <c r="U69" s="1434">
        <f>V68/T68</f>
        <v>0.10974673829623945</v>
      </c>
      <c r="V69" s="1369"/>
      <c r="W69" s="1369"/>
      <c r="X69" s="1434">
        <f>Y68/W68</f>
        <v>0.10542398777692895</v>
      </c>
      <c r="Y69" s="1369"/>
      <c r="Z69" s="1369"/>
      <c r="AA69" s="1434">
        <f>AB68/Z68</f>
        <v>0.10326499620349279</v>
      </c>
      <c r="AB69" s="1369"/>
      <c r="AC69" s="1369"/>
      <c r="AD69" s="1434">
        <f>AE68/AC68</f>
        <v>9.8024316109422471E-2</v>
      </c>
      <c r="AE69" s="1369"/>
      <c r="AF69" s="1369"/>
      <c r="AG69" s="1434">
        <f>AH68/AF68</f>
        <v>0.10015174506828528</v>
      </c>
      <c r="AH69" s="1369"/>
      <c r="AI69" s="1369"/>
      <c r="AJ69" s="1434">
        <f>AK68/AI68</f>
        <v>0.10030395136778117</v>
      </c>
      <c r="AK69" s="1369"/>
      <c r="AL69" s="1369"/>
      <c r="AM69" s="1434">
        <f>AN68/AL68</f>
        <v>0.1136647608230866</v>
      </c>
      <c r="AN69" s="1369"/>
      <c r="AO69" s="1369"/>
      <c r="AP69" s="1434">
        <f>AQ68/AO68</f>
        <v>0.11128250693949436</v>
      </c>
      <c r="AQ69" s="1369"/>
      <c r="AR69" s="1369"/>
      <c r="AS69" s="1434">
        <f>AT68/AR68</f>
        <v>0.10899898452652243</v>
      </c>
      <c r="AT69" s="1369"/>
      <c r="AU69" s="1369"/>
      <c r="AV69" s="1434">
        <f>AW68/AU68</f>
        <v>0.11022710076163138</v>
      </c>
      <c r="AW69" s="1369"/>
      <c r="AX69" s="1369"/>
      <c r="AY69" s="1434">
        <f>AZ68/AX68</f>
        <v>2.1313383117294683E-2</v>
      </c>
      <c r="AZ69" s="1369"/>
      <c r="BA69" s="1369"/>
      <c r="BB69" s="1434">
        <f>BC68/BA68</f>
        <v>1.4725137862139366E-3</v>
      </c>
      <c r="BC69" s="1369"/>
      <c r="BD69" s="1369"/>
      <c r="BE69" s="1434">
        <f>BF68/BD68</f>
        <v>6.7892540702141745E-3</v>
      </c>
      <c r="BF69" s="1369"/>
      <c r="BG69" s="1369"/>
      <c r="BH69" s="1434">
        <f>BI68/BG68</f>
        <v>4.2125825208546705E-3</v>
      </c>
      <c r="BI69" s="1369"/>
      <c r="BJ69" s="1369"/>
      <c r="BK69" s="1434">
        <f>BL68/BJ68</f>
        <v>-8.0013730484826645E-4</v>
      </c>
      <c r="BL69" s="1369"/>
      <c r="BM69" s="1369"/>
      <c r="BN69" s="1434">
        <f>BO68/BM68</f>
        <v>8.1235239644354019E-3</v>
      </c>
      <c r="BO69" s="1369"/>
      <c r="BP69" s="1369"/>
      <c r="BQ69" s="1434">
        <f>BR68/BP68</f>
        <v>8.2101926611747814E-3</v>
      </c>
      <c r="BR69" s="1369"/>
      <c r="BS69" s="1369"/>
      <c r="BT69" s="1434">
        <f>BU68/BS68</f>
        <v>1.9121599412597785E-2</v>
      </c>
      <c r="BU69" s="1369"/>
      <c r="BV69" s="1369"/>
      <c r="BW69" s="1434">
        <f>BX68/BV68</f>
        <v>0.10403473130954255</v>
      </c>
      <c r="BX69" s="1369"/>
      <c r="BY69" s="1369"/>
      <c r="BZ69" s="1434">
        <f>CA68/BY68</f>
        <v>7.2859118191125019E-2</v>
      </c>
      <c r="CA69" s="1369"/>
    </row>
    <row r="70" spans="1:256" ht="15" x14ac:dyDescent="0.25">
      <c r="A70" s="378"/>
      <c r="B70" s="2418" t="s">
        <v>323</v>
      </c>
      <c r="C70" s="2418"/>
      <c r="D70" s="2418"/>
      <c r="E70" s="2418"/>
      <c r="F70" s="2418"/>
      <c r="G70" s="378"/>
      <c r="H70" s="378"/>
      <c r="I70" s="378"/>
      <c r="J70" s="378"/>
      <c r="K70" s="378"/>
      <c r="L70" s="378"/>
      <c r="M70" s="378"/>
      <c r="N70" s="378"/>
      <c r="O70" s="378"/>
      <c r="P70" s="378"/>
      <c r="Q70" s="378"/>
      <c r="R70" s="378"/>
      <c r="S70" s="378"/>
      <c r="T70" s="1795"/>
      <c r="U70" s="1796"/>
      <c r="V70" s="378"/>
      <c r="W70" s="378"/>
      <c r="X70" s="378"/>
      <c r="Y70" s="378"/>
      <c r="Z70" s="378"/>
      <c r="AA70" s="378"/>
      <c r="AB70" s="378"/>
      <c r="AC70" s="378"/>
      <c r="AD70" s="378"/>
      <c r="AE70" s="378"/>
      <c r="AF70" s="378"/>
      <c r="AG70" s="378"/>
      <c r="AH70" s="378"/>
      <c r="AI70" s="378"/>
      <c r="AJ70" s="378"/>
      <c r="AK70" s="378"/>
      <c r="AL70" s="378"/>
      <c r="AM70" s="378"/>
      <c r="AN70" s="378"/>
      <c r="AO70" s="378"/>
      <c r="AP70" s="378"/>
      <c r="AQ70" s="378"/>
      <c r="AR70" s="378"/>
      <c r="AS70" s="378"/>
      <c r="AT70" s="378"/>
      <c r="AU70" s="378"/>
      <c r="AV70" s="378"/>
      <c r="AW70" s="378"/>
      <c r="AX70" s="378"/>
      <c r="AY70" s="378"/>
      <c r="AZ70" s="378"/>
      <c r="BA70" s="378"/>
      <c r="BB70" s="378"/>
      <c r="BC70" s="378"/>
      <c r="BD70" s="378"/>
      <c r="BE70" s="378"/>
      <c r="BF70" s="378"/>
      <c r="BG70" s="378"/>
      <c r="BH70" s="378"/>
      <c r="BI70" s="378"/>
      <c r="BJ70" s="378"/>
      <c r="BK70" s="378"/>
      <c r="BL70" s="378"/>
      <c r="BM70" s="378"/>
      <c r="BN70" s="378"/>
      <c r="BO70" s="378"/>
      <c r="BP70" s="378"/>
      <c r="BQ70" s="378"/>
      <c r="BR70" s="378"/>
      <c r="BS70" s="378"/>
      <c r="BT70" s="378"/>
      <c r="BU70" s="378"/>
      <c r="BV70" s="378"/>
      <c r="BW70" s="378"/>
      <c r="BX70" s="378"/>
      <c r="BY70" s="378"/>
      <c r="BZ70" s="378"/>
      <c r="CA70" s="378"/>
      <c r="CB70" s="378"/>
      <c r="CC70" s="378"/>
      <c r="CD70" s="378"/>
      <c r="CE70" s="378"/>
      <c r="CF70" s="378"/>
      <c r="CG70" s="378"/>
      <c r="CH70" s="378"/>
      <c r="CI70" s="378"/>
      <c r="CJ70" s="378"/>
      <c r="CK70" s="378"/>
      <c r="CL70" s="378"/>
      <c r="CM70" s="378"/>
      <c r="CN70" s="378"/>
      <c r="CO70" s="378"/>
      <c r="CP70" s="378"/>
      <c r="CQ70" s="378"/>
      <c r="CR70" s="378"/>
      <c r="CS70" s="378"/>
      <c r="CT70" s="378"/>
      <c r="CU70" s="378"/>
      <c r="CV70" s="378"/>
      <c r="CW70" s="378"/>
      <c r="CX70" s="378"/>
      <c r="CY70" s="378"/>
      <c r="CZ70" s="378"/>
      <c r="DA70" s="378"/>
      <c r="DB70" s="378"/>
      <c r="DC70" s="378"/>
      <c r="DD70" s="378"/>
      <c r="DE70" s="378"/>
      <c r="DF70" s="378"/>
      <c r="DG70" s="378"/>
      <c r="DH70" s="378"/>
      <c r="DI70" s="378"/>
      <c r="DJ70" s="378"/>
      <c r="DK70" s="378"/>
      <c r="DL70" s="378"/>
      <c r="DM70" s="378"/>
      <c r="DN70" s="378"/>
      <c r="DO70" s="378"/>
      <c r="DP70" s="378"/>
      <c r="DQ70" s="378"/>
      <c r="DR70" s="378"/>
      <c r="DS70" s="378"/>
      <c r="DT70" s="378"/>
      <c r="DU70" s="378"/>
      <c r="DV70" s="378"/>
      <c r="DW70" s="378"/>
      <c r="DX70" s="378"/>
      <c r="DY70" s="378"/>
      <c r="DZ70" s="378"/>
      <c r="EA70" s="378"/>
      <c r="EB70" s="378"/>
      <c r="EC70" s="378"/>
      <c r="ED70" s="378"/>
      <c r="EE70" s="378"/>
      <c r="EF70" s="378"/>
      <c r="EG70" s="378"/>
      <c r="EH70" s="378"/>
      <c r="EI70" s="378"/>
      <c r="EJ70" s="378"/>
      <c r="EK70" s="378"/>
      <c r="EL70" s="378"/>
      <c r="EM70" s="378"/>
      <c r="EN70" s="378"/>
      <c r="EO70" s="378"/>
      <c r="EP70" s="378"/>
      <c r="EQ70" s="378"/>
      <c r="ER70" s="378"/>
      <c r="ES70" s="378"/>
      <c r="ET70" s="378"/>
      <c r="EU70" s="378"/>
      <c r="EV70" s="378"/>
      <c r="EW70" s="378"/>
      <c r="EX70" s="378"/>
      <c r="EY70" s="378"/>
      <c r="EZ70" s="378"/>
      <c r="FA70" s="378"/>
      <c r="FB70" s="378"/>
      <c r="FC70" s="378"/>
      <c r="FD70" s="378"/>
      <c r="FE70" s="378"/>
      <c r="FF70" s="378"/>
      <c r="FG70" s="378"/>
      <c r="FH70" s="378"/>
      <c r="FI70" s="378"/>
      <c r="FJ70" s="378"/>
      <c r="FK70" s="378"/>
      <c r="FL70" s="378"/>
      <c r="FM70" s="378"/>
      <c r="FN70" s="378"/>
      <c r="FO70" s="378"/>
      <c r="FP70" s="378"/>
      <c r="FQ70" s="378"/>
      <c r="FR70" s="378"/>
      <c r="FS70" s="378"/>
      <c r="FT70" s="378"/>
      <c r="FU70" s="378"/>
      <c r="FV70" s="378"/>
      <c r="FW70" s="378"/>
      <c r="FX70" s="378"/>
      <c r="FY70" s="378"/>
      <c r="FZ70" s="378"/>
      <c r="GA70" s="378"/>
      <c r="GB70" s="378"/>
      <c r="GC70" s="378"/>
      <c r="GD70" s="378"/>
      <c r="GE70" s="378"/>
      <c r="GF70" s="378"/>
      <c r="GG70" s="378"/>
      <c r="GH70" s="378"/>
      <c r="GI70" s="378"/>
      <c r="GJ70" s="378"/>
      <c r="GK70" s="378"/>
      <c r="GL70" s="378"/>
      <c r="GM70" s="378"/>
      <c r="GN70" s="378"/>
      <c r="GO70" s="378"/>
      <c r="GP70" s="378"/>
      <c r="GQ70" s="378"/>
      <c r="GR70" s="378"/>
      <c r="GS70" s="378"/>
      <c r="GT70" s="378"/>
      <c r="GU70" s="378"/>
      <c r="GV70" s="378"/>
      <c r="GW70" s="378"/>
      <c r="GX70" s="378"/>
      <c r="GY70" s="378"/>
      <c r="GZ70" s="378"/>
      <c r="HA70" s="378"/>
      <c r="HB70" s="378"/>
      <c r="HC70" s="378"/>
      <c r="HD70" s="378"/>
      <c r="HE70" s="378"/>
      <c r="HF70" s="378"/>
      <c r="HG70" s="378"/>
      <c r="HH70" s="378"/>
      <c r="HI70" s="378"/>
      <c r="HJ70" s="378"/>
      <c r="HK70" s="378"/>
      <c r="HL70" s="378"/>
      <c r="HM70" s="378"/>
      <c r="HN70" s="378"/>
      <c r="HO70" s="378"/>
      <c r="HP70" s="378"/>
      <c r="HQ70" s="378"/>
      <c r="HR70" s="378"/>
      <c r="HS70" s="378"/>
      <c r="HT70" s="378"/>
      <c r="HU70" s="378"/>
      <c r="HV70" s="378"/>
      <c r="HW70" s="378"/>
      <c r="HX70" s="378"/>
      <c r="HY70" s="378"/>
      <c r="HZ70" s="378"/>
      <c r="IA70" s="378"/>
      <c r="IB70" s="378"/>
      <c r="IC70" s="378"/>
      <c r="ID70" s="378"/>
      <c r="IE70" s="378"/>
      <c r="IF70" s="378"/>
      <c r="IG70" s="378"/>
      <c r="IH70" s="378"/>
      <c r="II70" s="378"/>
      <c r="IJ70" s="378"/>
      <c r="IK70" s="378"/>
      <c r="IL70" s="378"/>
      <c r="IM70" s="378"/>
      <c r="IN70" s="378"/>
      <c r="IO70" s="378"/>
      <c r="IP70" s="378"/>
      <c r="IQ70" s="378"/>
      <c r="IR70" s="378"/>
      <c r="IS70" s="378"/>
      <c r="IT70" s="378"/>
      <c r="IU70" s="378"/>
      <c r="IV70" s="378"/>
    </row>
    <row r="71" spans="1:256" x14ac:dyDescent="0.2">
      <c r="A71" s="378"/>
      <c r="B71" s="378"/>
      <c r="C71" s="378"/>
      <c r="D71" s="378"/>
      <c r="E71" s="378"/>
      <c r="F71" s="378"/>
      <c r="G71" s="378"/>
      <c r="H71" s="378"/>
      <c r="I71" s="380"/>
      <c r="J71" s="378"/>
      <c r="K71" s="378"/>
      <c r="L71" s="380"/>
      <c r="M71" s="378"/>
      <c r="N71" s="378"/>
      <c r="O71" s="380"/>
      <c r="P71" s="378"/>
      <c r="Q71" s="378"/>
      <c r="R71" s="380"/>
      <c r="S71" s="378"/>
      <c r="T71" s="378"/>
      <c r="U71" s="380"/>
      <c r="V71" s="378"/>
      <c r="W71" s="378"/>
      <c r="X71" s="380"/>
      <c r="Y71" s="378"/>
      <c r="Z71" s="378"/>
      <c r="AA71" s="380"/>
      <c r="AB71" s="378"/>
      <c r="AC71" s="378"/>
      <c r="AD71" s="380"/>
      <c r="AE71" s="378"/>
      <c r="AF71" s="378"/>
      <c r="AG71" s="380"/>
      <c r="AH71" s="378"/>
      <c r="AI71" s="378"/>
      <c r="AJ71" s="380"/>
      <c r="AK71" s="378"/>
      <c r="AL71" s="378"/>
      <c r="AM71" s="380"/>
      <c r="AN71" s="378"/>
      <c r="AO71" s="378"/>
      <c r="AP71" s="380"/>
      <c r="AQ71" s="378"/>
      <c r="AR71" s="378"/>
      <c r="AS71" s="380"/>
      <c r="AT71" s="378"/>
      <c r="AU71" s="378"/>
      <c r="AV71" s="380"/>
      <c r="AW71" s="378"/>
      <c r="AX71" s="378"/>
      <c r="AY71" s="380"/>
      <c r="AZ71" s="378"/>
      <c r="BA71" s="378"/>
      <c r="BB71" s="380"/>
      <c r="BC71" s="378"/>
      <c r="BD71" s="378"/>
      <c r="BE71" s="380"/>
      <c r="BF71" s="378"/>
      <c r="BG71" s="378"/>
      <c r="BH71" s="380"/>
      <c r="BI71" s="378"/>
      <c r="BJ71" s="378"/>
      <c r="BK71" s="380"/>
      <c r="BL71" s="378"/>
      <c r="BM71" s="378"/>
      <c r="BN71" s="380"/>
      <c r="BO71" s="378"/>
      <c r="BP71" s="378"/>
      <c r="BQ71" s="380"/>
      <c r="BR71" s="378"/>
      <c r="BS71" s="378"/>
      <c r="BT71" s="380"/>
      <c r="BU71" s="378"/>
      <c r="BV71" s="378"/>
      <c r="BW71" s="380"/>
      <c r="BX71" s="378"/>
      <c r="BY71" s="378"/>
      <c r="BZ71" s="380"/>
      <c r="CA71" s="378"/>
      <c r="CB71" s="378"/>
      <c r="CC71" s="378"/>
      <c r="CD71" s="378"/>
      <c r="CE71" s="378"/>
      <c r="CF71" s="378"/>
      <c r="CG71" s="378"/>
      <c r="CH71" s="378"/>
      <c r="CI71" s="378"/>
      <c r="CJ71" s="378"/>
      <c r="CK71" s="378"/>
      <c r="CL71" s="378"/>
      <c r="CM71" s="378"/>
      <c r="CN71" s="378"/>
      <c r="CO71" s="378"/>
      <c r="CP71" s="378"/>
      <c r="CQ71" s="378"/>
      <c r="CR71" s="378"/>
      <c r="CS71" s="378"/>
      <c r="CT71" s="378"/>
      <c r="CU71" s="378"/>
      <c r="CV71" s="378"/>
      <c r="CW71" s="378"/>
      <c r="CX71" s="378"/>
      <c r="CY71" s="378"/>
      <c r="CZ71" s="378"/>
      <c r="DA71" s="378"/>
      <c r="DB71" s="378"/>
      <c r="DC71" s="378"/>
      <c r="DD71" s="378"/>
      <c r="DE71" s="378"/>
      <c r="DF71" s="378"/>
      <c r="DG71" s="378"/>
      <c r="DH71" s="378"/>
      <c r="DI71" s="378"/>
      <c r="DJ71" s="378"/>
      <c r="DK71" s="378"/>
      <c r="DL71" s="378"/>
      <c r="DM71" s="378"/>
      <c r="DN71" s="378"/>
      <c r="DO71" s="378"/>
      <c r="DP71" s="378"/>
      <c r="DQ71" s="378"/>
      <c r="DR71" s="378"/>
      <c r="DS71" s="378"/>
      <c r="DT71" s="378"/>
      <c r="DU71" s="378"/>
      <c r="DV71" s="378"/>
      <c r="DW71" s="378"/>
      <c r="DX71" s="378"/>
      <c r="DY71" s="378"/>
      <c r="DZ71" s="378"/>
      <c r="EA71" s="378"/>
      <c r="EB71" s="378"/>
      <c r="EC71" s="378"/>
      <c r="ED71" s="378"/>
      <c r="EE71" s="378"/>
      <c r="EF71" s="378"/>
      <c r="EG71" s="378"/>
      <c r="EH71" s="378"/>
      <c r="EI71" s="378"/>
      <c r="EJ71" s="378"/>
      <c r="EK71" s="378"/>
      <c r="EL71" s="378"/>
      <c r="EM71" s="378"/>
      <c r="EN71" s="378"/>
      <c r="EO71" s="378"/>
      <c r="EP71" s="378"/>
      <c r="EQ71" s="378"/>
      <c r="ER71" s="378"/>
      <c r="ES71" s="378"/>
      <c r="ET71" s="378"/>
      <c r="EU71" s="378"/>
      <c r="EV71" s="378"/>
      <c r="EW71" s="378"/>
      <c r="EX71" s="378"/>
      <c r="EY71" s="378"/>
      <c r="EZ71" s="378"/>
      <c r="FA71" s="378"/>
      <c r="FB71" s="378"/>
      <c r="FC71" s="378"/>
      <c r="FD71" s="378"/>
      <c r="FE71" s="378"/>
      <c r="FF71" s="378"/>
      <c r="FG71" s="378"/>
      <c r="FH71" s="378"/>
      <c r="FI71" s="378"/>
      <c r="FJ71" s="378"/>
      <c r="FK71" s="378"/>
      <c r="FL71" s="378"/>
      <c r="FM71" s="378"/>
      <c r="FN71" s="378"/>
      <c r="FO71" s="378"/>
      <c r="FP71" s="378"/>
      <c r="FQ71" s="378"/>
      <c r="FR71" s="378"/>
      <c r="FS71" s="378"/>
      <c r="FT71" s="378"/>
      <c r="FU71" s="378"/>
      <c r="FV71" s="378"/>
      <c r="FW71" s="378"/>
      <c r="FX71" s="378"/>
      <c r="FY71" s="378"/>
      <c r="FZ71" s="378"/>
      <c r="GA71" s="378"/>
      <c r="GB71" s="378"/>
      <c r="GC71" s="378"/>
      <c r="GD71" s="378"/>
      <c r="GE71" s="378"/>
      <c r="GF71" s="378"/>
      <c r="GG71" s="378"/>
      <c r="GH71" s="378"/>
      <c r="GI71" s="378"/>
      <c r="GJ71" s="378"/>
      <c r="GK71" s="378"/>
      <c r="GL71" s="378"/>
      <c r="GM71" s="378"/>
      <c r="GN71" s="378"/>
      <c r="GO71" s="378"/>
      <c r="GP71" s="378"/>
      <c r="GQ71" s="378"/>
      <c r="GR71" s="378"/>
      <c r="GS71" s="378"/>
      <c r="GT71" s="378"/>
      <c r="GU71" s="378"/>
      <c r="GV71" s="378"/>
      <c r="GW71" s="378"/>
      <c r="GX71" s="378"/>
      <c r="GY71" s="378"/>
      <c r="GZ71" s="378"/>
      <c r="HA71" s="378"/>
      <c r="HB71" s="378"/>
      <c r="HC71" s="378"/>
      <c r="HD71" s="378"/>
      <c r="HE71" s="378"/>
      <c r="HF71" s="378"/>
      <c r="HG71" s="378"/>
      <c r="HH71" s="378"/>
      <c r="HI71" s="378"/>
      <c r="HJ71" s="378"/>
      <c r="HK71" s="378"/>
      <c r="HL71" s="378"/>
      <c r="HM71" s="378"/>
      <c r="HN71" s="378"/>
      <c r="HO71" s="378"/>
      <c r="HP71" s="378"/>
      <c r="HQ71" s="378"/>
      <c r="HR71" s="378"/>
      <c r="HS71" s="378"/>
      <c r="HT71" s="378"/>
      <c r="HU71" s="378"/>
      <c r="HV71" s="378"/>
      <c r="HW71" s="378"/>
      <c r="HX71" s="378"/>
      <c r="HY71" s="378"/>
      <c r="HZ71" s="378"/>
      <c r="IA71" s="378"/>
      <c r="IB71" s="378"/>
      <c r="IC71" s="378"/>
      <c r="ID71" s="378"/>
      <c r="IE71" s="378"/>
      <c r="IF71" s="378"/>
      <c r="IG71" s="378"/>
      <c r="IH71" s="378"/>
      <c r="II71" s="378"/>
      <c r="IJ71" s="378"/>
      <c r="IK71" s="378"/>
      <c r="IL71" s="378"/>
      <c r="IM71" s="378"/>
      <c r="IN71" s="378"/>
      <c r="IO71" s="378"/>
      <c r="IP71" s="378"/>
      <c r="IQ71" s="378"/>
      <c r="IR71" s="378"/>
      <c r="IS71" s="378"/>
      <c r="IT71" s="378"/>
      <c r="IU71" s="378"/>
      <c r="IV71" s="378"/>
    </row>
    <row r="72" spans="1:256" x14ac:dyDescent="0.2">
      <c r="A72" s="378"/>
      <c r="B72" s="378"/>
      <c r="C72" s="378"/>
      <c r="D72" s="378"/>
      <c r="E72" s="378"/>
      <c r="F72" s="378"/>
      <c r="G72" s="378"/>
      <c r="H72" s="378"/>
      <c r="I72" s="378"/>
      <c r="J72" s="378"/>
      <c r="K72" s="378"/>
      <c r="L72" s="378"/>
      <c r="M72" s="378"/>
      <c r="N72" s="378"/>
      <c r="O72" s="378"/>
      <c r="P72" s="378"/>
      <c r="Q72" s="378"/>
      <c r="R72" s="378"/>
      <c r="S72" s="378"/>
      <c r="T72" s="378"/>
      <c r="U72" s="378"/>
      <c r="V72" s="378"/>
      <c r="W72" s="378"/>
      <c r="X72" s="378"/>
      <c r="Y72" s="378"/>
      <c r="Z72" s="378"/>
      <c r="AA72" s="378"/>
      <c r="AB72" s="378"/>
      <c r="AC72" s="378"/>
      <c r="AD72" s="378"/>
      <c r="AE72" s="378"/>
      <c r="AF72" s="378"/>
      <c r="AG72" s="378"/>
      <c r="AH72" s="378"/>
      <c r="AI72" s="378"/>
      <c r="AJ72" s="378"/>
      <c r="AK72" s="378"/>
      <c r="AL72" s="378"/>
      <c r="AM72" s="378"/>
      <c r="AN72" s="378"/>
      <c r="AO72" s="378"/>
      <c r="AP72" s="378"/>
      <c r="AQ72" s="378"/>
      <c r="AR72" s="378"/>
      <c r="AS72" s="378"/>
      <c r="AT72" s="378"/>
      <c r="AU72" s="378"/>
      <c r="AV72" s="378"/>
      <c r="AW72" s="378"/>
      <c r="AX72" s="378"/>
      <c r="AY72" s="378"/>
      <c r="AZ72" s="378"/>
      <c r="BA72" s="378"/>
      <c r="BB72" s="378"/>
      <c r="BC72" s="378"/>
      <c r="BD72" s="378"/>
      <c r="BE72" s="378"/>
      <c r="BF72" s="378"/>
      <c r="BG72" s="378"/>
      <c r="BH72" s="378"/>
      <c r="BI72" s="378"/>
      <c r="BJ72" s="378"/>
      <c r="BK72" s="378"/>
      <c r="BL72" s="378"/>
      <c r="BM72" s="378"/>
      <c r="BN72" s="378"/>
      <c r="BO72" s="378"/>
      <c r="BP72" s="378"/>
      <c r="BQ72" s="378"/>
      <c r="BR72" s="378"/>
      <c r="BS72" s="378"/>
      <c r="BT72" s="378"/>
      <c r="BU72" s="378"/>
      <c r="BV72" s="378"/>
      <c r="BW72" s="378"/>
      <c r="BX72" s="378"/>
      <c r="BY72" s="378"/>
      <c r="BZ72" s="378"/>
      <c r="CA72" s="378"/>
      <c r="CB72" s="378"/>
      <c r="CC72" s="378"/>
      <c r="CD72" s="378"/>
      <c r="CE72" s="378"/>
      <c r="CF72" s="378"/>
      <c r="CG72" s="378"/>
      <c r="CH72" s="378"/>
      <c r="CI72" s="378"/>
      <c r="CJ72" s="378"/>
      <c r="CK72" s="378"/>
      <c r="CL72" s="378"/>
      <c r="CM72" s="378"/>
      <c r="CN72" s="378"/>
      <c r="CO72" s="378"/>
      <c r="CP72" s="378"/>
      <c r="CQ72" s="378"/>
      <c r="CR72" s="378"/>
      <c r="CS72" s="378"/>
      <c r="CT72" s="378"/>
      <c r="CU72" s="378"/>
      <c r="CV72" s="378"/>
      <c r="CW72" s="378"/>
      <c r="CX72" s="378"/>
      <c r="CY72" s="378"/>
      <c r="CZ72" s="378"/>
      <c r="DA72" s="378"/>
      <c r="DB72" s="378"/>
      <c r="DC72" s="378"/>
      <c r="DD72" s="378"/>
      <c r="DE72" s="378"/>
      <c r="DF72" s="378"/>
      <c r="DG72" s="378"/>
      <c r="DH72" s="378"/>
      <c r="DI72" s="378"/>
      <c r="DJ72" s="378"/>
      <c r="DK72" s="378"/>
      <c r="DL72" s="378"/>
      <c r="DM72" s="378"/>
      <c r="DN72" s="378"/>
      <c r="DO72" s="378"/>
      <c r="DP72" s="378"/>
      <c r="DQ72" s="378"/>
      <c r="DR72" s="378"/>
      <c r="DS72" s="378"/>
      <c r="DT72" s="378"/>
      <c r="DU72" s="378"/>
      <c r="DV72" s="378"/>
      <c r="DW72" s="378"/>
      <c r="DX72" s="378"/>
      <c r="DY72" s="378"/>
      <c r="DZ72" s="378"/>
      <c r="EA72" s="378"/>
      <c r="EB72" s="378"/>
      <c r="EC72" s="378"/>
      <c r="ED72" s="378"/>
      <c r="EE72" s="378"/>
      <c r="EF72" s="378"/>
      <c r="EG72" s="378"/>
      <c r="EH72" s="378"/>
      <c r="EI72" s="378"/>
      <c r="EJ72" s="378"/>
      <c r="EK72" s="378"/>
      <c r="EL72" s="378"/>
      <c r="EM72" s="378"/>
      <c r="EN72" s="378"/>
      <c r="EO72" s="378"/>
      <c r="EP72" s="378"/>
      <c r="EQ72" s="378"/>
      <c r="ER72" s="378"/>
      <c r="ES72" s="378"/>
      <c r="ET72" s="378"/>
      <c r="EU72" s="378"/>
      <c r="EV72" s="378"/>
      <c r="EW72" s="378"/>
      <c r="EX72" s="378"/>
      <c r="EY72" s="378"/>
      <c r="EZ72" s="378"/>
      <c r="FA72" s="378"/>
      <c r="FB72" s="378"/>
      <c r="FC72" s="378"/>
      <c r="FD72" s="378"/>
      <c r="FE72" s="378"/>
      <c r="FF72" s="378"/>
      <c r="FG72" s="378"/>
      <c r="FH72" s="378"/>
      <c r="FI72" s="378"/>
      <c r="FJ72" s="378"/>
      <c r="FK72" s="378"/>
      <c r="FL72" s="378"/>
      <c r="FM72" s="378"/>
      <c r="FN72" s="378"/>
      <c r="FO72" s="378"/>
      <c r="FP72" s="378"/>
      <c r="FQ72" s="378"/>
      <c r="FR72" s="378"/>
      <c r="FS72" s="378"/>
      <c r="FT72" s="378"/>
      <c r="FU72" s="378"/>
      <c r="FV72" s="378"/>
      <c r="FW72" s="378"/>
      <c r="FX72" s="378"/>
      <c r="FY72" s="378"/>
      <c r="FZ72" s="378"/>
      <c r="GA72" s="378"/>
      <c r="GB72" s="378"/>
      <c r="GC72" s="378"/>
      <c r="GD72" s="378"/>
      <c r="GE72" s="378"/>
      <c r="GF72" s="378"/>
      <c r="GG72" s="378"/>
      <c r="GH72" s="378"/>
      <c r="GI72" s="378"/>
      <c r="GJ72" s="378"/>
      <c r="GK72" s="378"/>
      <c r="GL72" s="378"/>
      <c r="GM72" s="378"/>
      <c r="GN72" s="378"/>
      <c r="GO72" s="378"/>
      <c r="GP72" s="378"/>
      <c r="GQ72" s="378"/>
      <c r="GR72" s="378"/>
      <c r="GS72" s="378"/>
      <c r="GT72" s="378"/>
      <c r="GU72" s="378"/>
      <c r="GV72" s="378"/>
      <c r="GW72" s="378"/>
      <c r="GX72" s="378"/>
      <c r="GY72" s="378"/>
      <c r="GZ72" s="378"/>
      <c r="HA72" s="378"/>
      <c r="HB72" s="378"/>
      <c r="HC72" s="378"/>
      <c r="HD72" s="378"/>
      <c r="HE72" s="378"/>
      <c r="HF72" s="378"/>
      <c r="HG72" s="378"/>
      <c r="HH72" s="378"/>
      <c r="HI72" s="378"/>
      <c r="HJ72" s="378"/>
      <c r="HK72" s="378"/>
      <c r="HL72" s="378"/>
      <c r="HM72" s="378"/>
      <c r="HN72" s="378"/>
      <c r="HO72" s="378"/>
      <c r="HP72" s="378"/>
      <c r="HQ72" s="378"/>
      <c r="HR72" s="378"/>
      <c r="HS72" s="378"/>
      <c r="HT72" s="378"/>
      <c r="HU72" s="378"/>
      <c r="HV72" s="378"/>
      <c r="HW72" s="378"/>
      <c r="HX72" s="378"/>
      <c r="HY72" s="378"/>
      <c r="HZ72" s="378"/>
      <c r="IA72" s="378"/>
      <c r="IB72" s="378"/>
      <c r="IC72" s="378"/>
      <c r="ID72" s="378"/>
      <c r="IE72" s="378"/>
      <c r="IF72" s="378"/>
      <c r="IG72" s="378"/>
      <c r="IH72" s="378"/>
      <c r="II72" s="378"/>
      <c r="IJ72" s="378"/>
      <c r="IK72" s="378"/>
      <c r="IL72" s="378"/>
      <c r="IM72" s="378"/>
      <c r="IN72" s="378"/>
      <c r="IO72" s="378"/>
      <c r="IP72" s="378"/>
      <c r="IQ72" s="378"/>
      <c r="IR72" s="378"/>
      <c r="IS72" s="378"/>
      <c r="IT72" s="378"/>
      <c r="IU72" s="378"/>
      <c r="IV72" s="378"/>
    </row>
    <row r="73" spans="1:256" x14ac:dyDescent="0.2">
      <c r="A73" s="378"/>
      <c r="B73" s="378"/>
      <c r="C73" s="378"/>
      <c r="D73" s="378"/>
      <c r="E73" s="378"/>
      <c r="F73" s="378"/>
      <c r="G73" s="378"/>
      <c r="H73" s="378"/>
      <c r="I73" s="378"/>
      <c r="J73" s="378"/>
      <c r="K73" s="378"/>
      <c r="L73" s="378"/>
      <c r="M73" s="378"/>
      <c r="N73" s="378"/>
      <c r="O73" s="378"/>
      <c r="P73" s="378"/>
      <c r="Q73" s="378"/>
      <c r="R73" s="378"/>
      <c r="S73" s="378"/>
      <c r="T73" s="378"/>
      <c r="U73" s="378"/>
      <c r="V73" s="378"/>
      <c r="W73" s="378"/>
      <c r="X73" s="378"/>
      <c r="Y73" s="378"/>
      <c r="Z73" s="378"/>
      <c r="AA73" s="378"/>
      <c r="AB73" s="378"/>
      <c r="AC73" s="378"/>
      <c r="AD73" s="378"/>
      <c r="AE73" s="378"/>
      <c r="AF73" s="378"/>
      <c r="AG73" s="378"/>
      <c r="AH73" s="378"/>
      <c r="AI73" s="378"/>
      <c r="AJ73" s="378"/>
      <c r="AK73" s="378"/>
      <c r="AL73" s="378"/>
      <c r="AM73" s="378"/>
      <c r="AN73" s="378"/>
      <c r="AO73" s="378"/>
      <c r="AP73" s="378"/>
      <c r="AQ73" s="378"/>
      <c r="AR73" s="378"/>
      <c r="AS73" s="378"/>
      <c r="AT73" s="378"/>
      <c r="AU73" s="378"/>
      <c r="AV73" s="378"/>
      <c r="AW73" s="378"/>
      <c r="AX73" s="378"/>
      <c r="AY73" s="378"/>
      <c r="AZ73" s="378"/>
      <c r="BA73" s="378"/>
      <c r="BB73" s="378"/>
      <c r="BC73" s="378"/>
      <c r="BD73" s="378"/>
      <c r="BE73" s="378"/>
      <c r="BF73" s="378"/>
      <c r="BG73" s="378"/>
      <c r="BH73" s="378"/>
      <c r="BI73" s="378"/>
      <c r="BJ73" s="378"/>
      <c r="BK73" s="378"/>
      <c r="BL73" s="378"/>
      <c r="BM73" s="378"/>
      <c r="BN73" s="378"/>
      <c r="BO73" s="378"/>
      <c r="BP73" s="378"/>
      <c r="BQ73" s="378"/>
      <c r="BR73" s="378"/>
      <c r="BS73" s="378"/>
      <c r="BT73" s="378"/>
      <c r="BU73" s="378"/>
      <c r="BV73" s="378"/>
      <c r="BW73" s="378"/>
      <c r="BX73" s="378"/>
      <c r="BY73" s="378"/>
      <c r="BZ73" s="378"/>
      <c r="CA73" s="378"/>
      <c r="CB73" s="378"/>
      <c r="CC73" s="378"/>
      <c r="CD73" s="378"/>
      <c r="CE73" s="378"/>
      <c r="CF73" s="378"/>
      <c r="CG73" s="378"/>
      <c r="CH73" s="378"/>
      <c r="CI73" s="378"/>
      <c r="CJ73" s="378"/>
      <c r="CK73" s="378"/>
      <c r="CL73" s="378"/>
      <c r="CM73" s="378"/>
      <c r="CN73" s="378"/>
      <c r="CO73" s="378"/>
      <c r="CP73" s="378"/>
      <c r="CQ73" s="378"/>
      <c r="CR73" s="378"/>
      <c r="CS73" s="378"/>
      <c r="CT73" s="378"/>
      <c r="CU73" s="378"/>
      <c r="CV73" s="378"/>
      <c r="CW73" s="378"/>
      <c r="CX73" s="378"/>
      <c r="CY73" s="378"/>
      <c r="CZ73" s="378"/>
      <c r="DA73" s="378"/>
      <c r="DB73" s="378"/>
      <c r="DC73" s="378"/>
      <c r="DD73" s="378"/>
      <c r="DE73" s="378"/>
      <c r="DF73" s="378"/>
      <c r="DG73" s="378"/>
      <c r="DH73" s="378"/>
      <c r="DI73" s="378"/>
      <c r="DJ73" s="378"/>
      <c r="DK73" s="378"/>
      <c r="DL73" s="378"/>
      <c r="DM73" s="378"/>
      <c r="DN73" s="378"/>
      <c r="DO73" s="378"/>
      <c r="DP73" s="378"/>
      <c r="DQ73" s="378"/>
      <c r="DR73" s="378"/>
      <c r="DS73" s="378"/>
      <c r="DT73" s="378"/>
      <c r="DU73" s="378"/>
      <c r="DV73" s="378"/>
      <c r="DW73" s="378"/>
      <c r="DX73" s="378"/>
      <c r="DY73" s="378"/>
      <c r="DZ73" s="378"/>
      <c r="EA73" s="378"/>
      <c r="EB73" s="378"/>
      <c r="EC73" s="378"/>
      <c r="ED73" s="378"/>
      <c r="EE73" s="378"/>
      <c r="EF73" s="378"/>
      <c r="EG73" s="378"/>
      <c r="EH73" s="378"/>
      <c r="EI73" s="378"/>
      <c r="EJ73" s="378"/>
      <c r="EK73" s="378"/>
      <c r="EL73" s="378"/>
      <c r="EM73" s="378"/>
      <c r="EN73" s="378"/>
      <c r="EO73" s="378"/>
      <c r="EP73" s="378"/>
      <c r="EQ73" s="378"/>
      <c r="ER73" s="378"/>
      <c r="ES73" s="378"/>
      <c r="ET73" s="378"/>
      <c r="EU73" s="378"/>
      <c r="EV73" s="378"/>
      <c r="EW73" s="378"/>
      <c r="EX73" s="378"/>
      <c r="EY73" s="378"/>
      <c r="EZ73" s="378"/>
      <c r="FA73" s="378"/>
      <c r="FB73" s="378"/>
      <c r="FC73" s="378"/>
      <c r="FD73" s="378"/>
      <c r="FE73" s="378"/>
      <c r="FF73" s="378"/>
      <c r="FG73" s="378"/>
      <c r="FH73" s="378"/>
      <c r="FI73" s="378"/>
      <c r="FJ73" s="378"/>
      <c r="FK73" s="378"/>
      <c r="FL73" s="378"/>
      <c r="FM73" s="378"/>
      <c r="FN73" s="378"/>
      <c r="FO73" s="378"/>
      <c r="FP73" s="378"/>
      <c r="FQ73" s="378"/>
      <c r="FR73" s="378"/>
      <c r="FS73" s="378"/>
      <c r="FT73" s="378"/>
      <c r="FU73" s="378"/>
      <c r="FV73" s="378"/>
      <c r="FW73" s="378"/>
      <c r="FX73" s="378"/>
      <c r="FY73" s="378"/>
      <c r="FZ73" s="378"/>
      <c r="GA73" s="378"/>
      <c r="GB73" s="378"/>
      <c r="GC73" s="378"/>
      <c r="GD73" s="378"/>
      <c r="GE73" s="378"/>
      <c r="GF73" s="378"/>
      <c r="GG73" s="378"/>
      <c r="GH73" s="378"/>
      <c r="GI73" s="378"/>
      <c r="GJ73" s="378"/>
      <c r="GK73" s="378"/>
      <c r="GL73" s="378"/>
      <c r="GM73" s="378"/>
      <c r="GN73" s="378"/>
      <c r="GO73" s="378"/>
      <c r="GP73" s="378"/>
      <c r="GQ73" s="378"/>
      <c r="GR73" s="378"/>
      <c r="GS73" s="378"/>
      <c r="GT73" s="378"/>
      <c r="GU73" s="378"/>
      <c r="GV73" s="378"/>
      <c r="GW73" s="378"/>
      <c r="GX73" s="378"/>
      <c r="GY73" s="378"/>
      <c r="GZ73" s="378"/>
      <c r="HA73" s="378"/>
      <c r="HB73" s="378"/>
      <c r="HC73" s="378"/>
      <c r="HD73" s="378"/>
      <c r="HE73" s="378"/>
      <c r="HF73" s="378"/>
      <c r="HG73" s="378"/>
      <c r="HH73" s="378"/>
      <c r="HI73" s="378"/>
      <c r="HJ73" s="378"/>
      <c r="HK73" s="378"/>
      <c r="HL73" s="378"/>
      <c r="HM73" s="378"/>
      <c r="HN73" s="378"/>
      <c r="HO73" s="378"/>
      <c r="HP73" s="378"/>
      <c r="HQ73" s="378"/>
      <c r="HR73" s="378"/>
      <c r="HS73" s="378"/>
      <c r="HT73" s="378"/>
      <c r="HU73" s="378"/>
      <c r="HV73" s="378"/>
      <c r="HW73" s="378"/>
      <c r="HX73" s="378"/>
      <c r="HY73" s="378"/>
      <c r="HZ73" s="378"/>
      <c r="IA73" s="378"/>
      <c r="IB73" s="378"/>
      <c r="IC73" s="378"/>
      <c r="ID73" s="378"/>
      <c r="IE73" s="378"/>
      <c r="IF73" s="378"/>
      <c r="IG73" s="378"/>
      <c r="IH73" s="378"/>
      <c r="II73" s="378"/>
      <c r="IJ73" s="378"/>
      <c r="IK73" s="378"/>
      <c r="IL73" s="378"/>
      <c r="IM73" s="378"/>
      <c r="IN73" s="378"/>
      <c r="IO73" s="378"/>
      <c r="IP73" s="378"/>
      <c r="IQ73" s="378"/>
      <c r="IR73" s="378"/>
      <c r="IS73" s="378"/>
      <c r="IT73" s="378"/>
      <c r="IU73" s="378"/>
      <c r="IV73" s="378"/>
    </row>
    <row r="75" spans="1:256" ht="15" x14ac:dyDescent="0.2">
      <c r="S75" s="1797"/>
    </row>
  </sheetData>
  <mergeCells count="9">
    <mergeCell ref="BZ4:CA4"/>
    <mergeCell ref="E28:F28"/>
    <mergeCell ref="E29:F29"/>
    <mergeCell ref="E30:F30"/>
    <mergeCell ref="B61:G61"/>
    <mergeCell ref="B66:G66"/>
    <mergeCell ref="B70:F70"/>
    <mergeCell ref="P1:T1"/>
    <mergeCell ref="K4:M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1"/>
  <sheetViews>
    <sheetView workbookViewId="0">
      <selection activeCell="J48" sqref="J48"/>
    </sheetView>
  </sheetViews>
  <sheetFormatPr defaultRowHeight="12.75" x14ac:dyDescent="0.2"/>
  <cols>
    <col min="1" max="1" width="4.42578125" style="1072" customWidth="1"/>
    <col min="2" max="2" width="8.140625" style="1072" customWidth="1"/>
    <col min="3" max="3" width="8" style="1072" customWidth="1"/>
    <col min="4" max="4" width="7.28515625" style="1072" customWidth="1"/>
    <col min="5" max="5" width="5.42578125" style="1072" customWidth="1"/>
    <col min="6" max="6" width="5.140625" style="1072" customWidth="1"/>
    <col min="7" max="7" width="6.5703125" style="1072" customWidth="1"/>
    <col min="8" max="14" width="8.28515625" style="1072" customWidth="1"/>
    <col min="15" max="15" width="7.28515625" style="1072" customWidth="1"/>
    <col min="16" max="16" width="7.85546875" style="1072" customWidth="1"/>
    <col min="17" max="17" width="8.28515625" style="1072" customWidth="1"/>
    <col min="18" max="19" width="7.28515625" style="1072" customWidth="1"/>
    <col min="20" max="79" width="8.140625" style="1072" customWidth="1"/>
    <col min="80" max="80" width="13.5703125" style="1072" customWidth="1"/>
    <col min="81" max="256" width="9.140625" style="1072"/>
  </cols>
  <sheetData>
    <row r="1" spans="1:256" ht="18" x14ac:dyDescent="0.25">
      <c r="C1" s="1073" t="s">
        <v>61</v>
      </c>
      <c r="D1" s="1074"/>
      <c r="H1" s="1074"/>
      <c r="P1" s="2425" t="s">
        <v>284</v>
      </c>
      <c r="Q1" s="2425"/>
      <c r="R1" s="2425"/>
      <c r="S1" s="2425"/>
      <c r="T1" s="2425"/>
      <c r="BY1" s="1076" t="s">
        <v>285</v>
      </c>
    </row>
    <row r="2" spans="1:256" ht="14.25" x14ac:dyDescent="0.2">
      <c r="C2" s="1077"/>
      <c r="D2" s="1078"/>
      <c r="E2" s="1078"/>
      <c r="F2" s="1078"/>
    </row>
    <row r="3" spans="1:256" ht="18.75" thickBot="1" x14ac:dyDescent="0.3">
      <c r="B3" s="1079"/>
      <c r="C3" s="1080" t="s">
        <v>11</v>
      </c>
      <c r="D3" s="1080"/>
      <c r="E3" s="1080"/>
      <c r="F3" s="1081"/>
      <c r="G3" s="1080"/>
      <c r="H3" s="1080"/>
      <c r="J3" s="1079"/>
      <c r="K3" s="2411" t="s">
        <v>307</v>
      </c>
      <c r="L3" s="2411"/>
      <c r="M3" s="2411"/>
      <c r="N3" s="2411"/>
      <c r="O3" s="1082"/>
      <c r="P3" s="1079"/>
      <c r="BY3" s="1083" t="s">
        <v>3</v>
      </c>
      <c r="BZ3" s="2412">
        <f>'[3]Приложение 2_Авангард'!BZ3:CA3</f>
        <v>45644</v>
      </c>
      <c r="CA3" s="2412"/>
    </row>
    <row r="4" spans="1:256" ht="13.5" thickBot="1" x14ac:dyDescent="0.25">
      <c r="B4" s="1079"/>
      <c r="C4" s="1079"/>
      <c r="D4" s="1079"/>
      <c r="E4" s="1079"/>
      <c r="F4" s="1079"/>
      <c r="G4" s="1079"/>
      <c r="H4" s="1079"/>
      <c r="I4" s="1079"/>
      <c r="J4" s="1079"/>
      <c r="K4" s="1084"/>
      <c r="L4" s="1079"/>
      <c r="M4" s="1079"/>
    </row>
    <row r="5" spans="1:256" ht="13.5" thickBot="1" x14ac:dyDescent="0.25">
      <c r="A5" s="1085" t="s">
        <v>12</v>
      </c>
      <c r="B5" s="1086"/>
      <c r="C5" s="1086"/>
      <c r="D5" s="1087"/>
      <c r="E5" s="1087"/>
      <c r="F5" s="1088"/>
      <c r="G5" s="1089"/>
      <c r="H5" s="1374"/>
      <c r="I5" s="1375">
        <v>1</v>
      </c>
      <c r="J5" s="1376" t="s">
        <v>287</v>
      </c>
      <c r="K5" s="1377"/>
      <c r="L5" s="1378">
        <v>2</v>
      </c>
      <c r="M5" s="1379" t="s">
        <v>287</v>
      </c>
      <c r="N5" s="1374"/>
      <c r="O5" s="1375">
        <v>3</v>
      </c>
      <c r="P5" s="1376" t="s">
        <v>287</v>
      </c>
      <c r="Q5" s="1374"/>
      <c r="R5" s="1375">
        <v>4</v>
      </c>
      <c r="S5" s="1376" t="s">
        <v>287</v>
      </c>
      <c r="T5" s="1374"/>
      <c r="U5" s="1375">
        <v>5</v>
      </c>
      <c r="V5" s="1376" t="s">
        <v>287</v>
      </c>
      <c r="W5" s="1374"/>
      <c r="X5" s="1375">
        <v>6</v>
      </c>
      <c r="Y5" s="1376" t="s">
        <v>287</v>
      </c>
      <c r="Z5" s="1374"/>
      <c r="AA5" s="1375">
        <v>7</v>
      </c>
      <c r="AB5" s="1376" t="s">
        <v>287</v>
      </c>
      <c r="AC5" s="1374"/>
      <c r="AD5" s="1375">
        <v>8</v>
      </c>
      <c r="AE5" s="1376" t="s">
        <v>287</v>
      </c>
      <c r="AF5" s="1374"/>
      <c r="AG5" s="1375">
        <v>9</v>
      </c>
      <c r="AH5" s="1376" t="s">
        <v>287</v>
      </c>
      <c r="AI5" s="1374"/>
      <c r="AJ5" s="1375">
        <v>10</v>
      </c>
      <c r="AK5" s="1376" t="s">
        <v>287</v>
      </c>
      <c r="AL5" s="1374"/>
      <c r="AM5" s="1375">
        <v>11</v>
      </c>
      <c r="AN5" s="1376" t="s">
        <v>287</v>
      </c>
      <c r="AO5" s="1374"/>
      <c r="AP5" s="1375">
        <v>12</v>
      </c>
      <c r="AQ5" s="1376" t="s">
        <v>287</v>
      </c>
      <c r="AR5" s="1374"/>
      <c r="AS5" s="1375">
        <v>13</v>
      </c>
      <c r="AT5" s="1376" t="s">
        <v>287</v>
      </c>
      <c r="AU5" s="1374"/>
      <c r="AV5" s="1375">
        <v>14</v>
      </c>
      <c r="AW5" s="1376" t="s">
        <v>287</v>
      </c>
      <c r="AX5" s="1374"/>
      <c r="AY5" s="1375">
        <v>15</v>
      </c>
      <c r="AZ5" s="1376" t="s">
        <v>287</v>
      </c>
      <c r="BA5" s="1374"/>
      <c r="BB5" s="1375">
        <v>16</v>
      </c>
      <c r="BC5" s="1376" t="s">
        <v>287</v>
      </c>
      <c r="BD5" s="1374"/>
      <c r="BE5" s="1375">
        <v>17</v>
      </c>
      <c r="BF5" s="1376" t="s">
        <v>287</v>
      </c>
      <c r="BG5" s="1374"/>
      <c r="BH5" s="1375">
        <v>18</v>
      </c>
      <c r="BI5" s="1376" t="s">
        <v>287</v>
      </c>
      <c r="BJ5" s="1374"/>
      <c r="BK5" s="1375">
        <v>19</v>
      </c>
      <c r="BL5" s="1376" t="s">
        <v>287</v>
      </c>
      <c r="BM5" s="1374"/>
      <c r="BN5" s="1375">
        <v>20</v>
      </c>
      <c r="BO5" s="1376" t="s">
        <v>287</v>
      </c>
      <c r="BP5" s="1374"/>
      <c r="BQ5" s="1375">
        <v>21</v>
      </c>
      <c r="BR5" s="1376" t="s">
        <v>287</v>
      </c>
      <c r="BS5" s="1374"/>
      <c r="BT5" s="1375">
        <v>22</v>
      </c>
      <c r="BU5" s="1376" t="s">
        <v>287</v>
      </c>
      <c r="BV5" s="1380"/>
      <c r="BW5" s="1378">
        <v>23</v>
      </c>
      <c r="BX5" s="1379" t="s">
        <v>287</v>
      </c>
      <c r="BY5" s="1380"/>
      <c r="BZ5" s="1378">
        <v>24</v>
      </c>
      <c r="CA5" s="1381" t="s">
        <v>287</v>
      </c>
      <c r="CB5" s="1099"/>
      <c r="CC5" s="1099"/>
      <c r="CD5" s="1099"/>
      <c r="CE5" s="1099"/>
      <c r="CF5" s="1099"/>
      <c r="CG5" s="1099"/>
      <c r="CH5" s="1099"/>
      <c r="CI5" s="1099"/>
      <c r="CJ5" s="1099"/>
      <c r="CK5" s="1099"/>
      <c r="CL5" s="1099"/>
      <c r="CM5" s="1099"/>
      <c r="CN5" s="1099"/>
      <c r="CO5" s="1099"/>
      <c r="CP5" s="1099"/>
      <c r="CQ5" s="1099"/>
      <c r="CR5" s="1099"/>
      <c r="CS5" s="1099"/>
      <c r="CT5" s="1099"/>
      <c r="CU5" s="1099"/>
      <c r="CV5" s="1099"/>
      <c r="CW5" s="1099"/>
      <c r="CX5" s="1099"/>
      <c r="CY5" s="1099"/>
      <c r="CZ5" s="1099"/>
      <c r="DA5" s="1099"/>
      <c r="DB5" s="1099"/>
      <c r="DC5" s="1099"/>
      <c r="DD5" s="1099"/>
      <c r="DE5" s="1099"/>
      <c r="DF5" s="1099"/>
      <c r="DG5" s="1099"/>
      <c r="DH5" s="1099"/>
      <c r="DI5" s="1099"/>
      <c r="DJ5" s="1099"/>
      <c r="DK5" s="1099"/>
      <c r="DL5" s="1099"/>
      <c r="DM5" s="1099"/>
      <c r="DN5" s="1099"/>
      <c r="DO5" s="1099"/>
      <c r="DP5" s="1099"/>
      <c r="DQ5" s="1099"/>
      <c r="DR5" s="1099"/>
      <c r="DS5" s="1099"/>
      <c r="DT5" s="1099"/>
      <c r="DU5" s="1099"/>
      <c r="DV5" s="1099"/>
      <c r="DW5" s="1099"/>
      <c r="DX5" s="1099"/>
      <c r="DY5" s="1099"/>
      <c r="DZ5" s="1099"/>
      <c r="EA5" s="1099"/>
      <c r="EB5" s="1099"/>
      <c r="EC5" s="1099"/>
      <c r="ED5" s="1099"/>
      <c r="EE5" s="1099"/>
      <c r="EF5" s="1099"/>
      <c r="EG5" s="1099"/>
      <c r="EH5" s="1099"/>
      <c r="EI5" s="1099"/>
      <c r="EJ5" s="1099"/>
      <c r="EK5" s="1099"/>
      <c r="EL5" s="1099"/>
      <c r="EM5" s="1099"/>
      <c r="EN5" s="1099"/>
      <c r="EO5" s="1099"/>
      <c r="EP5" s="1099"/>
      <c r="EQ5" s="1099"/>
      <c r="ER5" s="1099"/>
      <c r="ES5" s="1099"/>
      <c r="ET5" s="1099"/>
      <c r="EU5" s="1099"/>
      <c r="EV5" s="1099"/>
      <c r="EW5" s="1099"/>
      <c r="EX5" s="1099"/>
      <c r="EY5" s="1099"/>
      <c r="EZ5" s="1099"/>
      <c r="FA5" s="1099"/>
      <c r="FB5" s="1099"/>
      <c r="FC5" s="1099"/>
      <c r="FD5" s="1099"/>
      <c r="FE5" s="1099"/>
      <c r="FF5" s="1099"/>
      <c r="FG5" s="1099"/>
      <c r="FH5" s="1099"/>
      <c r="FI5" s="1099"/>
      <c r="FJ5" s="1099"/>
      <c r="FK5" s="1099"/>
      <c r="FL5" s="1099"/>
      <c r="FM5" s="1099"/>
      <c r="FN5" s="1099"/>
      <c r="FO5" s="1099"/>
      <c r="FP5" s="1099"/>
      <c r="FQ5" s="1099"/>
      <c r="FR5" s="1099"/>
      <c r="FS5" s="1099"/>
      <c r="FT5" s="1099"/>
      <c r="FU5" s="1099"/>
      <c r="FV5" s="1099"/>
      <c r="FW5" s="1099"/>
      <c r="FX5" s="1099"/>
      <c r="FY5" s="1099"/>
      <c r="FZ5" s="1099"/>
      <c r="GA5" s="1099"/>
      <c r="GB5" s="1099"/>
      <c r="GC5" s="1099"/>
      <c r="GD5" s="1099"/>
      <c r="GE5" s="1099"/>
      <c r="GF5" s="1099"/>
      <c r="GG5" s="1099"/>
      <c r="GH5" s="1099"/>
      <c r="GI5" s="1099"/>
      <c r="GJ5" s="1099"/>
      <c r="GK5" s="1099"/>
      <c r="GL5" s="1099"/>
      <c r="GM5" s="1099"/>
      <c r="GN5" s="1099"/>
      <c r="GO5" s="1099"/>
      <c r="GP5" s="1099"/>
      <c r="GQ5" s="1099"/>
      <c r="GR5" s="1099"/>
      <c r="GS5" s="1099"/>
      <c r="GT5" s="1099"/>
      <c r="GU5" s="1099"/>
      <c r="GV5" s="1099"/>
      <c r="GW5" s="1099"/>
      <c r="GX5" s="1099"/>
      <c r="GY5" s="1099"/>
      <c r="GZ5" s="1099"/>
      <c r="HA5" s="1099"/>
      <c r="HB5" s="1099"/>
      <c r="HC5" s="1099"/>
      <c r="HD5" s="1099"/>
      <c r="HE5" s="1099"/>
      <c r="HF5" s="1099"/>
      <c r="HG5" s="1099"/>
      <c r="HH5" s="1099"/>
      <c r="HI5" s="1099"/>
      <c r="HJ5" s="1099"/>
      <c r="HK5" s="1099"/>
      <c r="HL5" s="1099"/>
      <c r="HM5" s="1099"/>
      <c r="HN5" s="1099"/>
      <c r="HO5" s="1099"/>
      <c r="HP5" s="1099"/>
      <c r="HQ5" s="1099"/>
      <c r="HR5" s="1099"/>
      <c r="HS5" s="1099"/>
      <c r="HT5" s="1099"/>
      <c r="HU5" s="1099"/>
      <c r="HV5" s="1099"/>
      <c r="HW5" s="1099"/>
      <c r="HX5" s="1099"/>
      <c r="HY5" s="1099"/>
      <c r="HZ5" s="1099"/>
      <c r="IA5" s="1099"/>
      <c r="IB5" s="1099"/>
      <c r="IC5" s="1099"/>
      <c r="ID5" s="1099"/>
      <c r="IE5" s="1099"/>
      <c r="IF5" s="1099"/>
      <c r="IG5" s="1099"/>
      <c r="IH5" s="1099"/>
      <c r="II5" s="1099"/>
      <c r="IJ5" s="1099"/>
      <c r="IK5" s="1099"/>
      <c r="IL5" s="1099"/>
      <c r="IM5" s="1099"/>
      <c r="IN5" s="1099"/>
      <c r="IO5" s="1099"/>
      <c r="IP5" s="1099"/>
      <c r="IQ5" s="1099"/>
      <c r="IR5" s="1099"/>
      <c r="IS5" s="1099"/>
      <c r="IT5" s="1099"/>
      <c r="IU5" s="1099"/>
      <c r="IV5" s="1099"/>
    </row>
    <row r="6" spans="1:256" x14ac:dyDescent="0.2">
      <c r="A6" s="1085" t="s">
        <v>17</v>
      </c>
      <c r="B6" s="1100"/>
      <c r="C6" s="1100" t="s">
        <v>16</v>
      </c>
      <c r="D6" s="1101"/>
      <c r="E6" s="1101"/>
      <c r="F6" s="1102"/>
      <c r="G6" s="1102"/>
      <c r="H6" s="1103" t="s">
        <v>4</v>
      </c>
      <c r="I6" s="1104" t="s">
        <v>9</v>
      </c>
      <c r="J6" s="1105" t="s">
        <v>10</v>
      </c>
      <c r="K6" s="1103" t="s">
        <v>4</v>
      </c>
      <c r="L6" s="1104" t="s">
        <v>9</v>
      </c>
      <c r="M6" s="1105" t="s">
        <v>10</v>
      </c>
      <c r="N6" s="1103" t="s">
        <v>4</v>
      </c>
      <c r="O6" s="1104" t="s">
        <v>9</v>
      </c>
      <c r="P6" s="1105" t="s">
        <v>10</v>
      </c>
      <c r="Q6" s="1103" t="s">
        <v>4</v>
      </c>
      <c r="R6" s="1104" t="s">
        <v>9</v>
      </c>
      <c r="S6" s="1105" t="s">
        <v>10</v>
      </c>
      <c r="T6" s="1103" t="s">
        <v>4</v>
      </c>
      <c r="U6" s="1104" t="s">
        <v>9</v>
      </c>
      <c r="V6" s="1105" t="s">
        <v>10</v>
      </c>
      <c r="W6" s="1103" t="s">
        <v>4</v>
      </c>
      <c r="X6" s="1104" t="s">
        <v>9</v>
      </c>
      <c r="Y6" s="1105" t="s">
        <v>10</v>
      </c>
      <c r="Z6" s="1103" t="s">
        <v>4</v>
      </c>
      <c r="AA6" s="1104" t="s">
        <v>9</v>
      </c>
      <c r="AB6" s="1105" t="s">
        <v>10</v>
      </c>
      <c r="AC6" s="1103" t="s">
        <v>4</v>
      </c>
      <c r="AD6" s="1104" t="s">
        <v>9</v>
      </c>
      <c r="AE6" s="1105" t="s">
        <v>10</v>
      </c>
      <c r="AF6" s="1103" t="s">
        <v>4</v>
      </c>
      <c r="AG6" s="1104" t="s">
        <v>9</v>
      </c>
      <c r="AH6" s="1105" t="s">
        <v>10</v>
      </c>
      <c r="AI6" s="1103" t="s">
        <v>4</v>
      </c>
      <c r="AJ6" s="1104" t="s">
        <v>9</v>
      </c>
      <c r="AK6" s="1105" t="s">
        <v>10</v>
      </c>
      <c r="AL6" s="1103" t="s">
        <v>4</v>
      </c>
      <c r="AM6" s="1104" t="s">
        <v>9</v>
      </c>
      <c r="AN6" s="1105" t="s">
        <v>10</v>
      </c>
      <c r="AO6" s="1103" t="s">
        <v>4</v>
      </c>
      <c r="AP6" s="1104" t="s">
        <v>9</v>
      </c>
      <c r="AQ6" s="1105" t="s">
        <v>10</v>
      </c>
      <c r="AR6" s="1103" t="s">
        <v>4</v>
      </c>
      <c r="AS6" s="1104" t="s">
        <v>9</v>
      </c>
      <c r="AT6" s="1105" t="s">
        <v>10</v>
      </c>
      <c r="AU6" s="1103" t="s">
        <v>4</v>
      </c>
      <c r="AV6" s="1104" t="s">
        <v>9</v>
      </c>
      <c r="AW6" s="1105" t="s">
        <v>10</v>
      </c>
      <c r="AX6" s="1103" t="s">
        <v>4</v>
      </c>
      <c r="AY6" s="1104" t="s">
        <v>9</v>
      </c>
      <c r="AZ6" s="1105" t="s">
        <v>10</v>
      </c>
      <c r="BA6" s="1103" t="s">
        <v>4</v>
      </c>
      <c r="BB6" s="1104" t="s">
        <v>9</v>
      </c>
      <c r="BC6" s="1105" t="s">
        <v>10</v>
      </c>
      <c r="BD6" s="1103" t="s">
        <v>4</v>
      </c>
      <c r="BE6" s="1104" t="s">
        <v>9</v>
      </c>
      <c r="BF6" s="1105" t="s">
        <v>10</v>
      </c>
      <c r="BG6" s="1103" t="s">
        <v>4</v>
      </c>
      <c r="BH6" s="1104" t="s">
        <v>9</v>
      </c>
      <c r="BI6" s="1105" t="s">
        <v>10</v>
      </c>
      <c r="BJ6" s="1103" t="s">
        <v>4</v>
      </c>
      <c r="BK6" s="1104" t="s">
        <v>9</v>
      </c>
      <c r="BL6" s="1105" t="s">
        <v>10</v>
      </c>
      <c r="BM6" s="1103" t="s">
        <v>4</v>
      </c>
      <c r="BN6" s="1104" t="s">
        <v>9</v>
      </c>
      <c r="BO6" s="1105" t="s">
        <v>10</v>
      </c>
      <c r="BP6" s="1103" t="s">
        <v>4</v>
      </c>
      <c r="BQ6" s="1104" t="s">
        <v>9</v>
      </c>
      <c r="BR6" s="1105" t="s">
        <v>10</v>
      </c>
      <c r="BS6" s="1103" t="s">
        <v>4</v>
      </c>
      <c r="BT6" s="1104" t="s">
        <v>9</v>
      </c>
      <c r="BU6" s="1105" t="s">
        <v>10</v>
      </c>
      <c r="BV6" s="1106" t="s">
        <v>4</v>
      </c>
      <c r="BW6" s="1107" t="s">
        <v>9</v>
      </c>
      <c r="BX6" s="1108" t="s">
        <v>10</v>
      </c>
      <c r="BY6" s="1382" t="s">
        <v>4</v>
      </c>
      <c r="BZ6" s="1107" t="s">
        <v>9</v>
      </c>
      <c r="CA6" s="1108" t="s">
        <v>10</v>
      </c>
      <c r="CB6" s="1099"/>
      <c r="CC6" s="1099"/>
      <c r="CD6" s="1099"/>
      <c r="CE6" s="1099"/>
      <c r="CF6" s="1099"/>
      <c r="CG6" s="1099"/>
      <c r="CH6" s="1099"/>
      <c r="CI6" s="1099"/>
      <c r="CJ6" s="1099"/>
      <c r="CK6" s="1099"/>
      <c r="CL6" s="1099"/>
      <c r="CM6" s="1099"/>
      <c r="CN6" s="1099"/>
      <c r="CO6" s="1099"/>
      <c r="CP6" s="1099"/>
      <c r="CQ6" s="1099"/>
      <c r="CR6" s="1099"/>
      <c r="CS6" s="1099"/>
      <c r="CT6" s="1099"/>
      <c r="CU6" s="1099"/>
      <c r="CV6" s="1099"/>
      <c r="CW6" s="1099"/>
      <c r="CX6" s="1099"/>
      <c r="CY6" s="1099"/>
      <c r="CZ6" s="1099"/>
      <c r="DA6" s="1099"/>
      <c r="DB6" s="1099"/>
      <c r="DC6" s="1099"/>
      <c r="DD6" s="1099"/>
      <c r="DE6" s="1099"/>
      <c r="DF6" s="1099"/>
      <c r="DG6" s="1099"/>
      <c r="DH6" s="1099"/>
      <c r="DI6" s="1099"/>
      <c r="DJ6" s="1099"/>
      <c r="DK6" s="1099"/>
      <c r="DL6" s="1099"/>
      <c r="DM6" s="1099"/>
      <c r="DN6" s="1099"/>
      <c r="DO6" s="1099"/>
      <c r="DP6" s="1099"/>
      <c r="DQ6" s="1099"/>
      <c r="DR6" s="1099"/>
      <c r="DS6" s="1099"/>
      <c r="DT6" s="1099"/>
      <c r="DU6" s="1099"/>
      <c r="DV6" s="1099"/>
      <c r="DW6" s="1099"/>
      <c r="DX6" s="1099"/>
      <c r="DY6" s="1099"/>
      <c r="DZ6" s="1099"/>
      <c r="EA6" s="1099"/>
      <c r="EB6" s="1099"/>
      <c r="EC6" s="1099"/>
      <c r="ED6" s="1099"/>
      <c r="EE6" s="1099"/>
      <c r="EF6" s="1099"/>
      <c r="EG6" s="1099"/>
      <c r="EH6" s="1099"/>
      <c r="EI6" s="1099"/>
      <c r="EJ6" s="1099"/>
      <c r="EK6" s="1099"/>
      <c r="EL6" s="1099"/>
      <c r="EM6" s="1099"/>
      <c r="EN6" s="1099"/>
      <c r="EO6" s="1099"/>
      <c r="EP6" s="1099"/>
      <c r="EQ6" s="1099"/>
      <c r="ER6" s="1099"/>
      <c r="ES6" s="1099"/>
      <c r="ET6" s="1099"/>
      <c r="EU6" s="1099"/>
      <c r="EV6" s="1099"/>
      <c r="EW6" s="1099"/>
      <c r="EX6" s="1099"/>
      <c r="EY6" s="1099"/>
      <c r="EZ6" s="1099"/>
      <c r="FA6" s="1099"/>
      <c r="FB6" s="1099"/>
      <c r="FC6" s="1099"/>
      <c r="FD6" s="1099"/>
      <c r="FE6" s="1099"/>
      <c r="FF6" s="1099"/>
      <c r="FG6" s="1099"/>
      <c r="FH6" s="1099"/>
      <c r="FI6" s="1099"/>
      <c r="FJ6" s="1099"/>
      <c r="FK6" s="1099"/>
      <c r="FL6" s="1099"/>
      <c r="FM6" s="1099"/>
      <c r="FN6" s="1099"/>
      <c r="FO6" s="1099"/>
      <c r="FP6" s="1099"/>
      <c r="FQ6" s="1099"/>
      <c r="FR6" s="1099"/>
      <c r="FS6" s="1099"/>
      <c r="FT6" s="1099"/>
      <c r="FU6" s="1099"/>
      <c r="FV6" s="1099"/>
      <c r="FW6" s="1099"/>
      <c r="FX6" s="1099"/>
      <c r="FY6" s="1099"/>
      <c r="FZ6" s="1099"/>
      <c r="GA6" s="1099"/>
      <c r="GB6" s="1099"/>
      <c r="GC6" s="1099"/>
      <c r="GD6" s="1099"/>
      <c r="GE6" s="1099"/>
      <c r="GF6" s="1099"/>
      <c r="GG6" s="1099"/>
      <c r="GH6" s="1099"/>
      <c r="GI6" s="1099"/>
      <c r="GJ6" s="1099"/>
      <c r="GK6" s="1099"/>
      <c r="GL6" s="1099"/>
      <c r="GM6" s="1099"/>
      <c r="GN6" s="1099"/>
      <c r="GO6" s="1099"/>
      <c r="GP6" s="1099"/>
      <c r="GQ6" s="1099"/>
      <c r="GR6" s="1099"/>
      <c r="GS6" s="1099"/>
      <c r="GT6" s="1099"/>
      <c r="GU6" s="1099"/>
      <c r="GV6" s="1099"/>
      <c r="GW6" s="1099"/>
      <c r="GX6" s="1099"/>
      <c r="GY6" s="1099"/>
      <c r="GZ6" s="1099"/>
      <c r="HA6" s="1099"/>
      <c r="HB6" s="1099"/>
      <c r="HC6" s="1099"/>
      <c r="HD6" s="1099"/>
      <c r="HE6" s="1099"/>
      <c r="HF6" s="1099"/>
      <c r="HG6" s="1099"/>
      <c r="HH6" s="1099"/>
      <c r="HI6" s="1099"/>
      <c r="HJ6" s="1099"/>
      <c r="HK6" s="1099"/>
      <c r="HL6" s="1099"/>
      <c r="HM6" s="1099"/>
      <c r="HN6" s="1099"/>
      <c r="HO6" s="1099"/>
      <c r="HP6" s="1099"/>
      <c r="HQ6" s="1099"/>
      <c r="HR6" s="1099"/>
      <c r="HS6" s="1099"/>
      <c r="HT6" s="1099"/>
      <c r="HU6" s="1099"/>
      <c r="HV6" s="1099"/>
      <c r="HW6" s="1099"/>
      <c r="HX6" s="1099"/>
      <c r="HY6" s="1099"/>
      <c r="HZ6" s="1099"/>
      <c r="IA6" s="1099"/>
      <c r="IB6" s="1099"/>
      <c r="IC6" s="1099"/>
      <c r="ID6" s="1099"/>
      <c r="IE6" s="1099"/>
      <c r="IF6" s="1099"/>
      <c r="IG6" s="1099"/>
      <c r="IH6" s="1099"/>
      <c r="II6" s="1099"/>
      <c r="IJ6" s="1099"/>
      <c r="IK6" s="1099"/>
      <c r="IL6" s="1099"/>
      <c r="IM6" s="1099"/>
      <c r="IN6" s="1099"/>
      <c r="IO6" s="1099"/>
      <c r="IP6" s="1099"/>
      <c r="IQ6" s="1099"/>
      <c r="IR6" s="1099"/>
      <c r="IS6" s="1099"/>
      <c r="IT6" s="1099"/>
      <c r="IU6" s="1099"/>
      <c r="IV6" s="1099"/>
    </row>
    <row r="7" spans="1:256" ht="13.5" thickBot="1" x14ac:dyDescent="0.25">
      <c r="A7" s="1110" t="s">
        <v>18</v>
      </c>
      <c r="B7" s="1111"/>
      <c r="C7" s="1112" t="s">
        <v>28</v>
      </c>
      <c r="D7" s="1113"/>
      <c r="E7" s="1113"/>
      <c r="F7" s="1114"/>
      <c r="G7" s="1114"/>
      <c r="H7" s="1115" t="s">
        <v>30</v>
      </c>
      <c r="I7" s="1116" t="s">
        <v>31</v>
      </c>
      <c r="J7" s="1117" t="s">
        <v>44</v>
      </c>
      <c r="K7" s="1118" t="s">
        <v>30</v>
      </c>
      <c r="L7" s="1119" t="s">
        <v>31</v>
      </c>
      <c r="M7" s="1120" t="s">
        <v>44</v>
      </c>
      <c r="N7" s="1115" t="s">
        <v>30</v>
      </c>
      <c r="O7" s="1116" t="s">
        <v>31</v>
      </c>
      <c r="P7" s="1117" t="s">
        <v>44</v>
      </c>
      <c r="Q7" s="1115" t="s">
        <v>30</v>
      </c>
      <c r="R7" s="1116" t="s">
        <v>31</v>
      </c>
      <c r="S7" s="1117" t="s">
        <v>44</v>
      </c>
      <c r="T7" s="1115" t="s">
        <v>30</v>
      </c>
      <c r="U7" s="1116" t="s">
        <v>31</v>
      </c>
      <c r="V7" s="1117" t="s">
        <v>44</v>
      </c>
      <c r="W7" s="1115" t="s">
        <v>30</v>
      </c>
      <c r="X7" s="1116" t="s">
        <v>31</v>
      </c>
      <c r="Y7" s="1117" t="s">
        <v>44</v>
      </c>
      <c r="Z7" s="1115" t="s">
        <v>30</v>
      </c>
      <c r="AA7" s="1116" t="s">
        <v>31</v>
      </c>
      <c r="AB7" s="1117" t="s">
        <v>44</v>
      </c>
      <c r="AC7" s="1115" t="s">
        <v>30</v>
      </c>
      <c r="AD7" s="1116" t="s">
        <v>31</v>
      </c>
      <c r="AE7" s="1117" t="s">
        <v>44</v>
      </c>
      <c r="AF7" s="1115" t="s">
        <v>30</v>
      </c>
      <c r="AG7" s="1116" t="s">
        <v>31</v>
      </c>
      <c r="AH7" s="1117" t="s">
        <v>44</v>
      </c>
      <c r="AI7" s="1115" t="s">
        <v>30</v>
      </c>
      <c r="AJ7" s="1116" t="s">
        <v>31</v>
      </c>
      <c r="AK7" s="1117" t="s">
        <v>44</v>
      </c>
      <c r="AL7" s="1115" t="s">
        <v>30</v>
      </c>
      <c r="AM7" s="1116" t="s">
        <v>31</v>
      </c>
      <c r="AN7" s="1117" t="s">
        <v>44</v>
      </c>
      <c r="AO7" s="1115" t="s">
        <v>30</v>
      </c>
      <c r="AP7" s="1116" t="s">
        <v>31</v>
      </c>
      <c r="AQ7" s="1117" t="s">
        <v>44</v>
      </c>
      <c r="AR7" s="1115" t="s">
        <v>30</v>
      </c>
      <c r="AS7" s="1116" t="s">
        <v>31</v>
      </c>
      <c r="AT7" s="1117" t="s">
        <v>44</v>
      </c>
      <c r="AU7" s="1115" t="s">
        <v>30</v>
      </c>
      <c r="AV7" s="1116" t="s">
        <v>31</v>
      </c>
      <c r="AW7" s="1117" t="s">
        <v>44</v>
      </c>
      <c r="AX7" s="1115" t="s">
        <v>30</v>
      </c>
      <c r="AY7" s="1116" t="s">
        <v>31</v>
      </c>
      <c r="AZ7" s="1117" t="s">
        <v>44</v>
      </c>
      <c r="BA7" s="1115" t="s">
        <v>30</v>
      </c>
      <c r="BB7" s="1116" t="s">
        <v>31</v>
      </c>
      <c r="BC7" s="1117" t="s">
        <v>44</v>
      </c>
      <c r="BD7" s="1115" t="s">
        <v>30</v>
      </c>
      <c r="BE7" s="1116" t="s">
        <v>31</v>
      </c>
      <c r="BF7" s="1117" t="s">
        <v>44</v>
      </c>
      <c r="BG7" s="1115" t="s">
        <v>30</v>
      </c>
      <c r="BH7" s="1116" t="s">
        <v>31</v>
      </c>
      <c r="BI7" s="1117" t="s">
        <v>44</v>
      </c>
      <c r="BJ7" s="1115" t="s">
        <v>30</v>
      </c>
      <c r="BK7" s="1116" t="s">
        <v>31</v>
      </c>
      <c r="BL7" s="1117" t="s">
        <v>44</v>
      </c>
      <c r="BM7" s="1115" t="s">
        <v>30</v>
      </c>
      <c r="BN7" s="1116" t="s">
        <v>31</v>
      </c>
      <c r="BO7" s="1117" t="s">
        <v>44</v>
      </c>
      <c r="BP7" s="1115" t="s">
        <v>30</v>
      </c>
      <c r="BQ7" s="1116" t="s">
        <v>31</v>
      </c>
      <c r="BR7" s="1117" t="s">
        <v>44</v>
      </c>
      <c r="BS7" s="1115" t="s">
        <v>30</v>
      </c>
      <c r="BT7" s="1116" t="s">
        <v>31</v>
      </c>
      <c r="BU7" s="1117" t="s">
        <v>44</v>
      </c>
      <c r="BV7" s="1118" t="s">
        <v>30</v>
      </c>
      <c r="BW7" s="1119" t="s">
        <v>31</v>
      </c>
      <c r="BX7" s="1120" t="s">
        <v>44</v>
      </c>
      <c r="BY7" s="1118" t="s">
        <v>30</v>
      </c>
      <c r="BZ7" s="1119" t="s">
        <v>31</v>
      </c>
      <c r="CA7" s="1120" t="s">
        <v>44</v>
      </c>
      <c r="CB7" s="1099"/>
      <c r="CC7" s="1099"/>
      <c r="CD7" s="1099"/>
      <c r="CE7" s="1099"/>
      <c r="CF7" s="1099"/>
      <c r="CG7" s="1099"/>
      <c r="CH7" s="1099"/>
      <c r="CI7" s="1099"/>
      <c r="CJ7" s="1099"/>
      <c r="CK7" s="1099"/>
      <c r="CL7" s="1099"/>
      <c r="CM7" s="1099"/>
      <c r="CN7" s="1099"/>
      <c r="CO7" s="1099"/>
      <c r="CP7" s="1099"/>
      <c r="CQ7" s="1099"/>
      <c r="CR7" s="1099"/>
      <c r="CS7" s="1099"/>
      <c r="CT7" s="1099"/>
      <c r="CU7" s="1099"/>
      <c r="CV7" s="1099"/>
      <c r="CW7" s="1099"/>
      <c r="CX7" s="1099"/>
      <c r="CY7" s="1099"/>
      <c r="CZ7" s="1099"/>
      <c r="DA7" s="1099"/>
      <c r="DB7" s="1099"/>
      <c r="DC7" s="1099"/>
      <c r="DD7" s="1099"/>
      <c r="DE7" s="1099"/>
      <c r="DF7" s="1099"/>
      <c r="DG7" s="1099"/>
      <c r="DH7" s="1099"/>
      <c r="DI7" s="1099"/>
      <c r="DJ7" s="1099"/>
      <c r="DK7" s="1099"/>
      <c r="DL7" s="1099"/>
      <c r="DM7" s="1099"/>
      <c r="DN7" s="1099"/>
      <c r="DO7" s="1099"/>
      <c r="DP7" s="1099"/>
      <c r="DQ7" s="1099"/>
      <c r="DR7" s="1099"/>
      <c r="DS7" s="1099"/>
      <c r="DT7" s="1099"/>
      <c r="DU7" s="1099"/>
      <c r="DV7" s="1099"/>
      <c r="DW7" s="1099"/>
      <c r="DX7" s="1099"/>
      <c r="DY7" s="1099"/>
      <c r="DZ7" s="1099"/>
      <c r="EA7" s="1099"/>
      <c r="EB7" s="1099"/>
      <c r="EC7" s="1099"/>
      <c r="ED7" s="1099"/>
      <c r="EE7" s="1099"/>
      <c r="EF7" s="1099"/>
      <c r="EG7" s="1099"/>
      <c r="EH7" s="1099"/>
      <c r="EI7" s="1099"/>
      <c r="EJ7" s="1099"/>
      <c r="EK7" s="1099"/>
      <c r="EL7" s="1099"/>
      <c r="EM7" s="1099"/>
      <c r="EN7" s="1099"/>
      <c r="EO7" s="1099"/>
      <c r="EP7" s="1099"/>
      <c r="EQ7" s="1099"/>
      <c r="ER7" s="1099"/>
      <c r="ES7" s="1099"/>
      <c r="ET7" s="1099"/>
      <c r="EU7" s="1099"/>
      <c r="EV7" s="1099"/>
      <c r="EW7" s="1099"/>
      <c r="EX7" s="1099"/>
      <c r="EY7" s="1099"/>
      <c r="EZ7" s="1099"/>
      <c r="FA7" s="1099"/>
      <c r="FB7" s="1099"/>
      <c r="FC7" s="1099"/>
      <c r="FD7" s="1099"/>
      <c r="FE7" s="1099"/>
      <c r="FF7" s="1099"/>
      <c r="FG7" s="1099"/>
      <c r="FH7" s="1099"/>
      <c r="FI7" s="1099"/>
      <c r="FJ7" s="1099"/>
      <c r="FK7" s="1099"/>
      <c r="FL7" s="1099"/>
      <c r="FM7" s="1099"/>
      <c r="FN7" s="1099"/>
      <c r="FO7" s="1099"/>
      <c r="FP7" s="1099"/>
      <c r="FQ7" s="1099"/>
      <c r="FR7" s="1099"/>
      <c r="FS7" s="1099"/>
      <c r="FT7" s="1099"/>
      <c r="FU7" s="1099"/>
      <c r="FV7" s="1099"/>
      <c r="FW7" s="1099"/>
      <c r="FX7" s="1099"/>
      <c r="FY7" s="1099"/>
      <c r="FZ7" s="1099"/>
      <c r="GA7" s="1099"/>
      <c r="GB7" s="1099"/>
      <c r="GC7" s="1099"/>
      <c r="GD7" s="1099"/>
      <c r="GE7" s="1099"/>
      <c r="GF7" s="1099"/>
      <c r="GG7" s="1099"/>
      <c r="GH7" s="1099"/>
      <c r="GI7" s="1099"/>
      <c r="GJ7" s="1099"/>
      <c r="GK7" s="1099"/>
      <c r="GL7" s="1099"/>
      <c r="GM7" s="1099"/>
      <c r="GN7" s="1099"/>
      <c r="GO7" s="1099"/>
      <c r="GP7" s="1099"/>
      <c r="GQ7" s="1099"/>
      <c r="GR7" s="1099"/>
      <c r="GS7" s="1099"/>
      <c r="GT7" s="1099"/>
      <c r="GU7" s="1099"/>
      <c r="GV7" s="1099"/>
      <c r="GW7" s="1099"/>
      <c r="GX7" s="1099"/>
      <c r="GY7" s="1099"/>
      <c r="GZ7" s="1099"/>
      <c r="HA7" s="1099"/>
      <c r="HB7" s="1099"/>
      <c r="HC7" s="1099"/>
      <c r="HD7" s="1099"/>
      <c r="HE7" s="1099"/>
      <c r="HF7" s="1099"/>
      <c r="HG7" s="1099"/>
      <c r="HH7" s="1099"/>
      <c r="HI7" s="1099"/>
      <c r="HJ7" s="1099"/>
      <c r="HK7" s="1099"/>
      <c r="HL7" s="1099"/>
      <c r="HM7" s="1099"/>
      <c r="HN7" s="1099"/>
      <c r="HO7" s="1099"/>
      <c r="HP7" s="1099"/>
      <c r="HQ7" s="1099"/>
      <c r="HR7" s="1099"/>
      <c r="HS7" s="1099"/>
      <c r="HT7" s="1099"/>
      <c r="HU7" s="1099"/>
      <c r="HV7" s="1099"/>
      <c r="HW7" s="1099"/>
      <c r="HX7" s="1099"/>
      <c r="HY7" s="1099"/>
      <c r="HZ7" s="1099"/>
      <c r="IA7" s="1099"/>
      <c r="IB7" s="1099"/>
      <c r="IC7" s="1099"/>
      <c r="ID7" s="1099"/>
      <c r="IE7" s="1099"/>
      <c r="IF7" s="1099"/>
      <c r="IG7" s="1099"/>
      <c r="IH7" s="1099"/>
      <c r="II7" s="1099"/>
      <c r="IJ7" s="1099"/>
      <c r="IK7" s="1099"/>
      <c r="IL7" s="1099"/>
      <c r="IM7" s="1099"/>
      <c r="IN7" s="1099"/>
      <c r="IO7" s="1099"/>
      <c r="IP7" s="1099"/>
      <c r="IQ7" s="1099"/>
      <c r="IR7" s="1099"/>
      <c r="IS7" s="1099"/>
      <c r="IT7" s="1099"/>
      <c r="IU7" s="1099"/>
      <c r="IV7" s="1099"/>
    </row>
    <row r="8" spans="1:256" x14ac:dyDescent="0.2">
      <c r="A8" s="1121"/>
      <c r="B8" s="1122"/>
      <c r="C8" s="1123"/>
      <c r="D8" s="1124"/>
      <c r="E8" s="1125"/>
      <c r="F8" s="1124" t="s">
        <v>33</v>
      </c>
      <c r="G8" s="1126"/>
      <c r="H8" s="1127">
        <f>SQRT(I8^2+J8^2)*1000/(1.73*I11)</f>
        <v>18.94516514361964</v>
      </c>
      <c r="I8" s="1128">
        <v>3.8346</v>
      </c>
      <c r="J8" s="1129">
        <v>2.6399999999999993E-2</v>
      </c>
      <c r="K8" s="1127">
        <f>SQRT(L8^2+M8^2)*1000/(1.73*L11)</f>
        <v>17.751256143729371</v>
      </c>
      <c r="L8" s="1128">
        <v>3.5838000000000001</v>
      </c>
      <c r="M8" s="1129">
        <v>0.25739999999999996</v>
      </c>
      <c r="N8" s="1127">
        <f>SQRT(O8^2+P8^2)*1000/(1.73*O11)</f>
        <v>17.360179975104241</v>
      </c>
      <c r="O8" s="1128">
        <v>3.5013000000000001</v>
      </c>
      <c r="P8" s="1129">
        <v>0.29699999999999999</v>
      </c>
      <c r="Q8" s="1127">
        <f>SQRT(R8^2+S8^2)*1000/(1.73*R11)</f>
        <v>17.054861238454965</v>
      </c>
      <c r="R8" s="1128">
        <v>3.4353000000000002</v>
      </c>
      <c r="S8" s="1129">
        <v>0.33989999999999998</v>
      </c>
      <c r="T8" s="1127">
        <f>SQRT(U8^2+V8^2)*1000/(1.73*U11)</f>
        <v>16.960778099457247</v>
      </c>
      <c r="U8" s="1128">
        <v>3.4155000000000002</v>
      </c>
      <c r="V8" s="1129">
        <v>0.34649999999999997</v>
      </c>
      <c r="W8" s="1127">
        <f>SQRT(X8^2+Y8^2)*1000/(1.73*X11)</f>
        <v>17.507643765100202</v>
      </c>
      <c r="X8" s="1128">
        <v>3.5276999999999998</v>
      </c>
      <c r="Y8" s="1129">
        <v>0.33660000000000001</v>
      </c>
      <c r="Z8" s="1127">
        <f>SQRT(AA8^2+AB8^2)*1000/(1.73*AA11)</f>
        <v>19.247586710267683</v>
      </c>
      <c r="AA8" s="1128">
        <v>3.8906999999999998</v>
      </c>
      <c r="AB8" s="1129">
        <v>0.20130000000000001</v>
      </c>
      <c r="AC8" s="1127">
        <f>SQRT(AD8^2+AE8^2)*1000/(1.73*AD11)</f>
        <v>21.097294022728313</v>
      </c>
      <c r="AD8" s="1128">
        <v>4.2702000000000009</v>
      </c>
      <c r="AE8" s="1129">
        <v>2.9700000000000018E-2</v>
      </c>
      <c r="AF8" s="1127">
        <f>SQRT(AG8^2+AH8^2)*1000/(1.73*AG11)</f>
        <v>22.079655678012994</v>
      </c>
      <c r="AG8" s="1128">
        <v>4.4648999999999992</v>
      </c>
      <c r="AH8" s="1129">
        <v>-0.19469999999999998</v>
      </c>
      <c r="AI8" s="1127">
        <f>SQRT(AJ8^2+AK8^2)*1000/(1.73*AJ11)</f>
        <v>21.845700330433925</v>
      </c>
      <c r="AJ8" s="1128">
        <v>4.4154</v>
      </c>
      <c r="AK8" s="1129">
        <v>-0.23760000000000003</v>
      </c>
      <c r="AL8" s="1127">
        <f>SQRT(AM8^2+AN8^2)*1000/(1.73*AM11)</f>
        <v>22.107507192980083</v>
      </c>
      <c r="AM8" s="1128">
        <v>4.4616000000000007</v>
      </c>
      <c r="AN8" s="1129">
        <v>-0.34320000000000001</v>
      </c>
      <c r="AO8" s="1127">
        <f>SQRT(AP8^2+AQ8^2)*1000/(1.73*AP11)</f>
        <v>22.223689777049717</v>
      </c>
      <c r="AP8" s="1128">
        <v>4.491299999999999</v>
      </c>
      <c r="AQ8" s="1129">
        <v>-0.25080000000000002</v>
      </c>
      <c r="AR8" s="1127">
        <f>SQRT(AS8^2+AT8^2)*1000/(1.73*AS11)</f>
        <v>22.204694433145882</v>
      </c>
      <c r="AS8" s="1128">
        <v>4.4912999999999998</v>
      </c>
      <c r="AT8" s="1129">
        <v>-0.16830000000000001</v>
      </c>
      <c r="AU8" s="1127">
        <f>SQRT(AV8^2+AW8^2)*1000/(1.73*AV11)</f>
        <v>22.002522832750053</v>
      </c>
      <c r="AV8" s="1128">
        <v>4.4451000000000001</v>
      </c>
      <c r="AW8" s="1129">
        <v>-0.27389999999999998</v>
      </c>
      <c r="AX8" s="1127">
        <f>SQRT(AY8^2+AZ8^2)*1000/(1.73*AY11)</f>
        <v>21.766083841262276</v>
      </c>
      <c r="AY8" s="1128">
        <v>4.3988999999999994</v>
      </c>
      <c r="AZ8" s="1129">
        <v>-0.2442</v>
      </c>
      <c r="BA8" s="1127">
        <f>SQRT(BB8^2+BC8^2)*1000/(1.73*BB11)</f>
        <v>22.779882016476936</v>
      </c>
      <c r="BB8" s="1128">
        <v>4.6035000000000004</v>
      </c>
      <c r="BC8" s="1129">
        <v>-0.26069999999999999</v>
      </c>
      <c r="BD8" s="1127">
        <f>SQRT(BE8^2+BF8^2)*1000/(1.73*BE11)</f>
        <v>23.705400984111858</v>
      </c>
      <c r="BE8" s="1128">
        <v>4.7948999999999993</v>
      </c>
      <c r="BF8" s="1129">
        <v>-0.1782</v>
      </c>
      <c r="BG8" s="1127">
        <f>SQRT(BH8^2+BI8^2)*1000/(1.73*BH11)</f>
        <v>23.833726894149201</v>
      </c>
      <c r="BH8" s="1128">
        <v>4.8179999999999996</v>
      </c>
      <c r="BI8" s="1129">
        <v>-0.2442</v>
      </c>
      <c r="BJ8" s="1127">
        <f>SQRT(BK8^2+BL8^2)*1000/(1.73*BK11)</f>
        <v>23.958514467498844</v>
      </c>
      <c r="BK8" s="1128">
        <v>4.8443999999999994</v>
      </c>
      <c r="BL8" s="1129">
        <v>-0.22109999999999999</v>
      </c>
      <c r="BM8" s="1127">
        <f>SQRT(BN8^2+BO8^2)*1000/(1.73*BN11)</f>
        <v>24.388164815741227</v>
      </c>
      <c r="BN8" s="1128">
        <v>4.9302000000000001</v>
      </c>
      <c r="BO8" s="1129">
        <v>-0.2475</v>
      </c>
      <c r="BP8" s="1127">
        <f>SQRT(BQ8^2+BR8^2)*1000/(1.73*BQ11)</f>
        <v>24.109725561869183</v>
      </c>
      <c r="BQ8" s="1128">
        <v>4.8741000000000003</v>
      </c>
      <c r="BR8" s="1129">
        <v>-0.2409</v>
      </c>
      <c r="BS8" s="1127">
        <f>SQRT(BT8^2+BU8^2)*1000/(1.73*BT11)</f>
        <v>23.253824190219547</v>
      </c>
      <c r="BT8" s="1128">
        <v>4.7024999999999997</v>
      </c>
      <c r="BU8" s="1129">
        <v>-0.20130000000000001</v>
      </c>
      <c r="BV8" s="1127">
        <f>SQRT(BW8^2+BX8^2)*1000/(1.73*BW11)</f>
        <v>22.431600641446057</v>
      </c>
      <c r="BW8" s="1128">
        <v>4.5374999999999996</v>
      </c>
      <c r="BX8" s="1129">
        <v>-0.16169999999999998</v>
      </c>
      <c r="BY8" s="1127">
        <f>SQRT(BZ8^2+CA8^2)*1000/(1.73*BZ11)</f>
        <v>21.066958941761051</v>
      </c>
      <c r="BZ8" s="1128">
        <v>4.2636000000000003</v>
      </c>
      <c r="CA8" s="1129">
        <v>-6.93E-2</v>
      </c>
      <c r="CB8" s="1383">
        <f>SUM(I8,L8,O8,R8,U8,X8,AA8,AD8,AG8,AJ8,AM8,AP8,AS8,AV8,AY8,BB8,BE8,BH8,BK8,BN8,BQ8,BT8,BW8,BZ8)</f>
        <v>102.99629999999998</v>
      </c>
      <c r="CC8" s="1383">
        <f>SUM(J8,M8,P8,S8,V8,Y8,AB8,AE8,AH8,AK8,AN8,AQ8,AT8,AW8,AZ8,BC8,BF8,BI8,BL8,BO8,BR8,BU8,BX8,CA8)</f>
        <v>-1.7028000000000001</v>
      </c>
    </row>
    <row r="9" spans="1:256" ht="13.5" thickBot="1" x14ac:dyDescent="0.25">
      <c r="A9" s="1130"/>
      <c r="B9" s="1131"/>
      <c r="C9" s="1079"/>
      <c r="D9" s="1132" t="s">
        <v>13</v>
      </c>
      <c r="E9" s="1079"/>
      <c r="F9" s="1133" t="s">
        <v>34</v>
      </c>
      <c r="G9" s="1134"/>
      <c r="H9" s="1135">
        <f>SQRT(I9^2+J9^2)*1000/(1.73*I12)</f>
        <v>216.07114592759348</v>
      </c>
      <c r="I9" s="1136">
        <v>3.87</v>
      </c>
      <c r="J9" s="1129">
        <v>-0.36899999999999999</v>
      </c>
      <c r="K9" s="1135">
        <f>SQRT(L9^2+M9^2)*1000/(1.73*L12)</f>
        <v>201.68252952188263</v>
      </c>
      <c r="L9" s="1136">
        <v>3.6059999999999999</v>
      </c>
      <c r="M9" s="1129">
        <v>-0.40500000000000003</v>
      </c>
      <c r="N9" s="1135">
        <f>SQRT(O9^2+P9^2)*1000/(1.73*O12)</f>
        <v>197.43262362127504</v>
      </c>
      <c r="O9" s="1136">
        <v>3.528</v>
      </c>
      <c r="P9" s="1129">
        <v>-0.41399999999999998</v>
      </c>
      <c r="Q9" s="1135">
        <f>SQRT(R9^2+S9^2)*1000/(1.73*R12)</f>
        <v>193.99520504140054</v>
      </c>
      <c r="R9" s="1136">
        <v>3.4649999999999999</v>
      </c>
      <c r="S9" s="1129">
        <v>-0.42</v>
      </c>
      <c r="T9" s="1135">
        <f>SQRT(U9^2+V9^2)*1000/(1.73*U12)</f>
        <v>192.34001770330136</v>
      </c>
      <c r="U9" s="1136">
        <v>3.4350000000000001</v>
      </c>
      <c r="V9" s="1129">
        <v>-0.42</v>
      </c>
      <c r="W9" s="1135">
        <f>SQRT(X9^2+Y9^2)*1000/(1.73*X12)</f>
        <v>199.05049564844714</v>
      </c>
      <c r="X9" s="1136">
        <v>3.5579999999999998</v>
      </c>
      <c r="Y9" s="1129">
        <v>-0.40799999999999997</v>
      </c>
      <c r="Z9" s="1135">
        <f>SQRT(AA9^2+AB9^2)*1000/(1.73*AA12)</f>
        <v>219.18802474158252</v>
      </c>
      <c r="AA9" s="1136">
        <v>3.9239999999999999</v>
      </c>
      <c r="AB9" s="1129">
        <v>-0.39300000000000002</v>
      </c>
      <c r="AC9" s="1135">
        <f>SQRT(AD9^2+AE9^2)*1000/(1.73*AD12)</f>
        <v>240.13247647843593</v>
      </c>
      <c r="AD9" s="1136">
        <v>4.3019999999999996</v>
      </c>
      <c r="AE9" s="1129">
        <v>-0.39900000000000002</v>
      </c>
      <c r="AF9" s="1135">
        <f>SQRT(AG9^2+AH9^2)*1000/(1.73*AG12)</f>
        <v>251.35666980150333</v>
      </c>
      <c r="AG9" s="1136">
        <v>4.5090000000000003</v>
      </c>
      <c r="AH9" s="1129">
        <v>-0.34799999999999998</v>
      </c>
      <c r="AI9" s="1135">
        <f>SQRT(AJ9^2+AK9^2)*1000/(1.73*AJ12)</f>
        <v>248.28843387753957</v>
      </c>
      <c r="AJ9" s="1136">
        <v>4.4550000000000001</v>
      </c>
      <c r="AK9" s="1129">
        <v>-0.33</v>
      </c>
      <c r="AL9" s="1135">
        <f>SQRT(AM9^2+AN9^2)*1000/(1.73*AM12)</f>
        <v>250.54525468373654</v>
      </c>
      <c r="AM9" s="1136">
        <v>4.4969999999999999</v>
      </c>
      <c r="AN9" s="1129">
        <v>-0.312</v>
      </c>
      <c r="AO9" s="1135">
        <f>SQRT(AP9^2+AQ9^2)*1000/(1.73*AP12)</f>
        <v>252.76630904019478</v>
      </c>
      <c r="AP9" s="1136">
        <v>4.5359999999999996</v>
      </c>
      <c r="AQ9" s="1129">
        <v>-0.32700000000000001</v>
      </c>
      <c r="AR9" s="1135">
        <f>SQRT(AS9^2+AT9^2)*1000/(1.73*AS12)</f>
        <v>252.21370588802498</v>
      </c>
      <c r="AS9" s="1136">
        <v>4.524</v>
      </c>
      <c r="AT9" s="1129">
        <v>-0.35399999999999998</v>
      </c>
      <c r="AU9" s="1135">
        <f>SQRT(AV9^2+AW9^2)*1000/(1.73*AV12)</f>
        <v>249.90325952430089</v>
      </c>
      <c r="AV9" s="1136">
        <v>4.4850000000000003</v>
      </c>
      <c r="AW9" s="1129">
        <v>-0.318</v>
      </c>
      <c r="AX9" s="1135">
        <f>SQRT(AY9^2+AZ9^2)*1000/(1.73*AY12)</f>
        <v>247.34109650529021</v>
      </c>
      <c r="AY9" s="1136">
        <v>4.4370000000000003</v>
      </c>
      <c r="AZ9" s="1129">
        <v>-0.34200000000000003</v>
      </c>
      <c r="BA9" s="1135">
        <f>SQRT(BB9^2+BC9^2)*1000/(1.73*BB12)</f>
        <v>258.85091403004213</v>
      </c>
      <c r="BB9" s="1136">
        <v>4.6440000000000001</v>
      </c>
      <c r="BC9" s="1129">
        <v>-0.35099999999999998</v>
      </c>
      <c r="BD9" s="1135">
        <f>SQRT(BE9^2+BF9^2)*1000/(1.73*BE12)</f>
        <v>269.33899932287602</v>
      </c>
      <c r="BE9" s="1136">
        <v>4.8330000000000002</v>
      </c>
      <c r="BF9" s="1129">
        <v>-0.35399999999999998</v>
      </c>
      <c r="BG9" s="1135">
        <f>SQRT(BH9^2+BI9^2)*1000/(1.73*BH12)</f>
        <v>271.10906381195656</v>
      </c>
      <c r="BH9" s="1136">
        <v>4.8659999999999997</v>
      </c>
      <c r="BI9" s="1129">
        <v>-0.33900000000000002</v>
      </c>
      <c r="BJ9" s="1135">
        <f>SQRT(BK9^2+BL9^2)*1000/(1.73*BK12)</f>
        <v>272.13039316430314</v>
      </c>
      <c r="BK9" s="1136">
        <v>4.8840000000000003</v>
      </c>
      <c r="BL9" s="1129">
        <v>-0.34499999999999997</v>
      </c>
      <c r="BM9" s="1135">
        <f>SQRT(BN9^2+BO9^2)*1000/(1.73*BN12)</f>
        <v>277.32178907730889</v>
      </c>
      <c r="BN9" s="1136">
        <v>4.9770000000000003</v>
      </c>
      <c r="BO9" s="1129">
        <v>-0.35399999999999998</v>
      </c>
      <c r="BP9" s="1135">
        <f>SQRT(BQ9^2+BR9^2)*1000/(1.73*BQ12)</f>
        <v>274.16179000134281</v>
      </c>
      <c r="BQ9" s="1136">
        <v>4.92</v>
      </c>
      <c r="BR9" s="1129">
        <v>-0.35399999999999998</v>
      </c>
      <c r="BS9" s="1135">
        <f>SQRT(BT9^2+BU9^2)*1000/(1.73*BT12)</f>
        <v>264.18411549063813</v>
      </c>
      <c r="BT9" s="1136">
        <v>4.74</v>
      </c>
      <c r="BU9" s="1129">
        <v>-0.35399999999999998</v>
      </c>
      <c r="BV9" s="1135">
        <f>SQRT(BW9^2+BX9^2)*1000/(1.73*BW12)</f>
        <v>255.14307929245527</v>
      </c>
      <c r="BW9" s="1136">
        <v>4.5780000000000003</v>
      </c>
      <c r="BX9" s="1129">
        <v>-0.33900000000000002</v>
      </c>
      <c r="BY9" s="1135">
        <f>SQRT(BZ9^2+CA9^2)*1000/(1.73*BZ12)</f>
        <v>240.06699408383005</v>
      </c>
      <c r="BZ9" s="1136">
        <v>4.3049999999999997</v>
      </c>
      <c r="CA9" s="1129">
        <v>-0.35099999999999998</v>
      </c>
      <c r="CB9" s="1383">
        <f>SUM(I9,L9,O9,R9,U9,X9,AA9,AD9,AG9,AJ9,AM9,AP9,AS9,AV9,AY9,BB9,BE9,BH9,BK9,BN9,BQ9,BT9,BW9,BZ9)</f>
        <v>103.87800000000001</v>
      </c>
      <c r="CC9" s="1383">
        <f>SUM(J9,M9,P9,S9,V9,Y9,AB9,AE9,AH9,AK9,AN9,AQ9,AT9,AW9,AZ9,BC9,BF9,BI9,BL9,BO9,BR9,BU9,BX9,CA9)</f>
        <v>-8.6999999999999993</v>
      </c>
    </row>
    <row r="10" spans="1:256" ht="13.5" thickBot="1" x14ac:dyDescent="0.25">
      <c r="A10" s="1137"/>
      <c r="B10" s="1138" t="s">
        <v>0</v>
      </c>
      <c r="C10" s="1139">
        <v>16</v>
      </c>
      <c r="D10" s="1140" t="s">
        <v>39</v>
      </c>
      <c r="E10" s="1141"/>
      <c r="F10" s="1141"/>
      <c r="G10" s="1142"/>
      <c r="H10" s="1143"/>
      <c r="I10" s="1144" t="s">
        <v>308</v>
      </c>
      <c r="J10" s="1145"/>
      <c r="K10" s="1143"/>
      <c r="L10" s="1144" t="s">
        <v>308</v>
      </c>
      <c r="M10" s="1145"/>
      <c r="N10" s="1143"/>
      <c r="O10" s="1144" t="s">
        <v>308</v>
      </c>
      <c r="P10" s="1145"/>
      <c r="Q10" s="1143"/>
      <c r="R10" s="1144" t="s">
        <v>308</v>
      </c>
      <c r="S10" s="1145"/>
      <c r="T10" s="1143"/>
      <c r="U10" s="1144" t="s">
        <v>308</v>
      </c>
      <c r="V10" s="1145"/>
      <c r="W10" s="1143"/>
      <c r="X10" s="1144" t="s">
        <v>308</v>
      </c>
      <c r="Y10" s="1145"/>
      <c r="Z10" s="1143"/>
      <c r="AA10" s="1144" t="s">
        <v>308</v>
      </c>
      <c r="AB10" s="1145"/>
      <c r="AC10" s="1143"/>
      <c r="AD10" s="1144" t="s">
        <v>308</v>
      </c>
      <c r="AE10" s="1145"/>
      <c r="AF10" s="1143"/>
      <c r="AG10" s="1144" t="s">
        <v>308</v>
      </c>
      <c r="AH10" s="1145"/>
      <c r="AI10" s="1143"/>
      <c r="AJ10" s="1144" t="s">
        <v>308</v>
      </c>
      <c r="AK10" s="1145"/>
      <c r="AL10" s="1143"/>
      <c r="AM10" s="1144" t="s">
        <v>308</v>
      </c>
      <c r="AN10" s="1145"/>
      <c r="AO10" s="1143"/>
      <c r="AP10" s="1144" t="s">
        <v>308</v>
      </c>
      <c r="AQ10" s="1145"/>
      <c r="AR10" s="1143"/>
      <c r="AS10" s="1144" t="s">
        <v>308</v>
      </c>
      <c r="AT10" s="1145"/>
      <c r="AU10" s="1143"/>
      <c r="AV10" s="1144" t="s">
        <v>308</v>
      </c>
      <c r="AW10" s="1145"/>
      <c r="AX10" s="1143"/>
      <c r="AY10" s="1144" t="s">
        <v>308</v>
      </c>
      <c r="AZ10" s="1145"/>
      <c r="BA10" s="1143"/>
      <c r="BB10" s="1144" t="s">
        <v>308</v>
      </c>
      <c r="BC10" s="1145"/>
      <c r="BD10" s="1143"/>
      <c r="BE10" s="1144" t="s">
        <v>308</v>
      </c>
      <c r="BF10" s="1145"/>
      <c r="BG10" s="1143"/>
      <c r="BH10" s="1144" t="s">
        <v>308</v>
      </c>
      <c r="BI10" s="1145"/>
      <c r="BJ10" s="1143"/>
      <c r="BK10" s="1144" t="s">
        <v>308</v>
      </c>
      <c r="BL10" s="1145"/>
      <c r="BM10" s="1143"/>
      <c r="BN10" s="1144" t="s">
        <v>308</v>
      </c>
      <c r="BO10" s="1145"/>
      <c r="BP10" s="1143"/>
      <c r="BQ10" s="1144" t="s">
        <v>308</v>
      </c>
      <c r="BR10" s="1145"/>
      <c r="BS10" s="1143"/>
      <c r="BT10" s="1144" t="s">
        <v>308</v>
      </c>
      <c r="BU10" s="1145"/>
      <c r="BV10" s="1143"/>
      <c r="BW10" s="1144" t="s">
        <v>308</v>
      </c>
      <c r="BX10" s="1145"/>
      <c r="BY10" s="1143"/>
      <c r="BZ10" s="1144" t="s">
        <v>308</v>
      </c>
      <c r="CA10" s="1145"/>
      <c r="CB10" s="1146"/>
      <c r="CC10" s="1146"/>
      <c r="CD10" s="1146"/>
      <c r="CE10" s="1146"/>
      <c r="CF10" s="1146"/>
      <c r="CG10" s="1146"/>
      <c r="CH10" s="1146"/>
      <c r="CI10" s="1146"/>
      <c r="CJ10" s="1146"/>
      <c r="CK10" s="1146"/>
      <c r="CL10" s="1146"/>
      <c r="CM10" s="1146"/>
      <c r="CN10" s="1146"/>
      <c r="CO10" s="1146"/>
      <c r="CP10" s="1146"/>
      <c r="CQ10" s="1146"/>
      <c r="CR10" s="1146"/>
      <c r="CS10" s="1146"/>
      <c r="CT10" s="1146"/>
      <c r="CU10" s="1146"/>
      <c r="CV10" s="1146"/>
      <c r="CW10" s="1146"/>
      <c r="CX10" s="1146"/>
      <c r="CY10" s="1146"/>
      <c r="CZ10" s="1146"/>
      <c r="DA10" s="1146"/>
      <c r="DB10" s="1146"/>
      <c r="DC10" s="1146"/>
      <c r="DD10" s="1146"/>
      <c r="DE10" s="1146"/>
      <c r="DF10" s="1146"/>
      <c r="DG10" s="1146"/>
      <c r="DH10" s="1146"/>
      <c r="DI10" s="1146"/>
      <c r="DJ10" s="1146"/>
      <c r="DK10" s="1146"/>
      <c r="DL10" s="1146"/>
      <c r="DM10" s="1146"/>
      <c r="DN10" s="1146"/>
      <c r="DO10" s="1146"/>
      <c r="DP10" s="1146"/>
      <c r="DQ10" s="1146"/>
      <c r="DR10" s="1146"/>
      <c r="DS10" s="1146"/>
      <c r="DT10" s="1146"/>
      <c r="DU10" s="1146"/>
      <c r="DV10" s="1146"/>
      <c r="DW10" s="1146"/>
      <c r="DX10" s="1146"/>
      <c r="DY10" s="1146"/>
      <c r="DZ10" s="1146"/>
      <c r="EA10" s="1146"/>
      <c r="EB10" s="1146"/>
      <c r="EC10" s="1146"/>
      <c r="ED10" s="1146"/>
      <c r="EE10" s="1146"/>
      <c r="EF10" s="1146"/>
      <c r="EG10" s="1146"/>
      <c r="EH10" s="1146"/>
      <c r="EI10" s="1146"/>
      <c r="EJ10" s="1146"/>
      <c r="EK10" s="1146"/>
      <c r="EL10" s="1146"/>
      <c r="EM10" s="1146"/>
      <c r="EN10" s="1146"/>
      <c r="EO10" s="1146"/>
      <c r="EP10" s="1146"/>
      <c r="EQ10" s="1146"/>
      <c r="ER10" s="1146"/>
      <c r="ES10" s="1146"/>
      <c r="ET10" s="1146"/>
      <c r="EU10" s="1146"/>
      <c r="EV10" s="1146"/>
      <c r="EW10" s="1146"/>
      <c r="EX10" s="1146"/>
      <c r="EY10" s="1146"/>
      <c r="EZ10" s="1146"/>
      <c r="FA10" s="1146"/>
      <c r="FB10" s="1146"/>
      <c r="FC10" s="1146"/>
      <c r="FD10" s="1146"/>
      <c r="FE10" s="1146"/>
      <c r="FF10" s="1146"/>
      <c r="FG10" s="1146"/>
      <c r="FH10" s="1146"/>
      <c r="FI10" s="1146"/>
      <c r="FJ10" s="1146"/>
      <c r="FK10" s="1146"/>
      <c r="FL10" s="1146"/>
      <c r="FM10" s="1146"/>
      <c r="FN10" s="1146"/>
      <c r="FO10" s="1146"/>
      <c r="FP10" s="1146"/>
      <c r="FQ10" s="1146"/>
      <c r="FR10" s="1146"/>
      <c r="FS10" s="1146"/>
      <c r="FT10" s="1146"/>
      <c r="FU10" s="1146"/>
      <c r="FV10" s="1146"/>
      <c r="FW10" s="1146"/>
      <c r="FX10" s="1146"/>
      <c r="FY10" s="1146"/>
      <c r="FZ10" s="1146"/>
      <c r="GA10" s="1146"/>
      <c r="GB10" s="1146"/>
      <c r="GC10" s="1146"/>
      <c r="GD10" s="1146"/>
      <c r="GE10" s="1146"/>
      <c r="GF10" s="1146"/>
      <c r="GG10" s="1146"/>
      <c r="GH10" s="1146"/>
      <c r="GI10" s="1146"/>
      <c r="GJ10" s="1146"/>
      <c r="GK10" s="1146"/>
      <c r="GL10" s="1146"/>
      <c r="GM10" s="1146"/>
      <c r="GN10" s="1146"/>
      <c r="GO10" s="1146"/>
      <c r="GP10" s="1146"/>
      <c r="GQ10" s="1146"/>
      <c r="GR10" s="1146"/>
      <c r="GS10" s="1146"/>
      <c r="GT10" s="1146"/>
      <c r="GU10" s="1146"/>
      <c r="GV10" s="1146"/>
      <c r="GW10" s="1146"/>
      <c r="GX10" s="1146"/>
      <c r="GY10" s="1146"/>
      <c r="GZ10" s="1146"/>
      <c r="HA10" s="1146"/>
      <c r="HB10" s="1146"/>
      <c r="HC10" s="1146"/>
      <c r="HD10" s="1146"/>
      <c r="HE10" s="1146"/>
      <c r="HF10" s="1146"/>
      <c r="HG10" s="1146"/>
      <c r="HH10" s="1146"/>
      <c r="HI10" s="1146"/>
      <c r="HJ10" s="1146"/>
      <c r="HK10" s="1146"/>
      <c r="HL10" s="1146"/>
      <c r="HM10" s="1146"/>
      <c r="HN10" s="1146"/>
      <c r="HO10" s="1146"/>
      <c r="HP10" s="1146"/>
      <c r="HQ10" s="1146"/>
      <c r="HR10" s="1146"/>
      <c r="HS10" s="1146"/>
      <c r="HT10" s="1146"/>
      <c r="HU10" s="1146"/>
      <c r="HV10" s="1146"/>
      <c r="HW10" s="1146"/>
      <c r="HX10" s="1146"/>
      <c r="HY10" s="1146"/>
      <c r="HZ10" s="1146"/>
      <c r="IA10" s="1146"/>
      <c r="IB10" s="1146"/>
      <c r="IC10" s="1146"/>
      <c r="ID10" s="1146"/>
      <c r="IE10" s="1146"/>
      <c r="IF10" s="1146"/>
      <c r="IG10" s="1146"/>
      <c r="IH10" s="1146"/>
      <c r="II10" s="1146"/>
      <c r="IJ10" s="1146"/>
      <c r="IK10" s="1146"/>
      <c r="IL10" s="1146"/>
      <c r="IM10" s="1146"/>
      <c r="IN10" s="1146"/>
      <c r="IO10" s="1146"/>
      <c r="IP10" s="1146"/>
      <c r="IQ10" s="1146"/>
      <c r="IR10" s="1146"/>
      <c r="IS10" s="1146"/>
      <c r="IT10" s="1146"/>
      <c r="IU10" s="1146"/>
      <c r="IV10" s="1146"/>
    </row>
    <row r="11" spans="1:256" x14ac:dyDescent="0.2">
      <c r="A11" s="1384"/>
      <c r="B11" s="1385"/>
      <c r="C11" s="1386"/>
      <c r="D11" s="1384" t="s">
        <v>14</v>
      </c>
      <c r="E11" s="1385"/>
      <c r="F11" s="1387" t="s">
        <v>33</v>
      </c>
      <c r="G11" s="1388"/>
      <c r="H11" s="1389"/>
      <c r="I11" s="1155">
        <v>117</v>
      </c>
      <c r="J11" s="1390"/>
      <c r="K11" s="1389"/>
      <c r="L11" s="1155">
        <v>117</v>
      </c>
      <c r="M11" s="1390"/>
      <c r="N11" s="1389"/>
      <c r="O11" s="1155">
        <v>117</v>
      </c>
      <c r="P11" s="1390"/>
      <c r="Q11" s="1389"/>
      <c r="R11" s="1155">
        <v>117</v>
      </c>
      <c r="S11" s="1390"/>
      <c r="T11" s="1389"/>
      <c r="U11" s="1155">
        <v>117</v>
      </c>
      <c r="V11" s="1390"/>
      <c r="W11" s="1389"/>
      <c r="X11" s="1155">
        <v>117</v>
      </c>
      <c r="Y11" s="1390"/>
      <c r="Z11" s="1389"/>
      <c r="AA11" s="1155">
        <v>117</v>
      </c>
      <c r="AB11" s="1390"/>
      <c r="AC11" s="1389"/>
      <c r="AD11" s="1155">
        <v>117</v>
      </c>
      <c r="AE11" s="1390"/>
      <c r="AF11" s="1389"/>
      <c r="AG11" s="1155">
        <v>117</v>
      </c>
      <c r="AH11" s="1390"/>
      <c r="AI11" s="1389"/>
      <c r="AJ11" s="1155">
        <v>117</v>
      </c>
      <c r="AK11" s="1390"/>
      <c r="AL11" s="1389"/>
      <c r="AM11" s="1155">
        <v>117</v>
      </c>
      <c r="AN11" s="1390"/>
      <c r="AO11" s="1389"/>
      <c r="AP11" s="1155">
        <v>117</v>
      </c>
      <c r="AQ11" s="1390"/>
      <c r="AR11" s="1389"/>
      <c r="AS11" s="1155">
        <v>117</v>
      </c>
      <c r="AT11" s="1390"/>
      <c r="AU11" s="1389"/>
      <c r="AV11" s="1155">
        <v>117</v>
      </c>
      <c r="AW11" s="1390"/>
      <c r="AX11" s="1389"/>
      <c r="AY11" s="1155">
        <v>117</v>
      </c>
      <c r="AZ11" s="1390"/>
      <c r="BA11" s="1389"/>
      <c r="BB11" s="1155">
        <v>117</v>
      </c>
      <c r="BC11" s="1390"/>
      <c r="BD11" s="1389"/>
      <c r="BE11" s="1155">
        <v>117</v>
      </c>
      <c r="BF11" s="1390"/>
      <c r="BG11" s="1389"/>
      <c r="BH11" s="1155">
        <v>117</v>
      </c>
      <c r="BI11" s="1390"/>
      <c r="BJ11" s="1389"/>
      <c r="BK11" s="1155">
        <v>117</v>
      </c>
      <c r="BL11" s="1390"/>
      <c r="BM11" s="1389"/>
      <c r="BN11" s="1155">
        <v>117</v>
      </c>
      <c r="BO11" s="1390"/>
      <c r="BP11" s="1389"/>
      <c r="BQ11" s="1155">
        <v>117</v>
      </c>
      <c r="BR11" s="1390"/>
      <c r="BS11" s="1389"/>
      <c r="BT11" s="1155">
        <v>117</v>
      </c>
      <c r="BU11" s="1390"/>
      <c r="BV11" s="1389"/>
      <c r="BW11" s="1155">
        <v>117</v>
      </c>
      <c r="BX11" s="1390"/>
      <c r="BY11" s="1389"/>
      <c r="BZ11" s="1155">
        <v>117</v>
      </c>
      <c r="CA11" s="1390"/>
      <c r="CB11" s="1391"/>
      <c r="CC11" s="1391"/>
      <c r="CD11" s="1391"/>
      <c r="CE11" s="1391"/>
      <c r="CF11" s="1391"/>
      <c r="CG11" s="1391"/>
      <c r="CH11" s="1391"/>
      <c r="CI11" s="1391"/>
      <c r="CJ11" s="1391"/>
      <c r="CK11" s="1391"/>
      <c r="CL11" s="1391"/>
      <c r="CM11" s="1391"/>
      <c r="CN11" s="1391"/>
      <c r="CO11" s="1391"/>
      <c r="CP11" s="1391"/>
      <c r="CQ11" s="1391"/>
      <c r="CR11" s="1391"/>
      <c r="CS11" s="1391"/>
      <c r="CT11" s="1391"/>
      <c r="CU11" s="1391"/>
      <c r="CV11" s="1391"/>
      <c r="CW11" s="1391"/>
      <c r="CX11" s="1391"/>
      <c r="CY11" s="1391"/>
      <c r="CZ11" s="1391"/>
      <c r="DA11" s="1391"/>
      <c r="DB11" s="1391"/>
      <c r="DC11" s="1391"/>
      <c r="DD11" s="1391"/>
      <c r="DE11" s="1391"/>
      <c r="DF11" s="1391"/>
      <c r="DG11" s="1391"/>
      <c r="DH11" s="1391"/>
      <c r="DI11" s="1391"/>
      <c r="DJ11" s="1391"/>
      <c r="DK11" s="1391"/>
      <c r="DL11" s="1391"/>
      <c r="DM11" s="1391"/>
      <c r="DN11" s="1391"/>
      <c r="DO11" s="1391"/>
      <c r="DP11" s="1391"/>
      <c r="DQ11" s="1391"/>
      <c r="DR11" s="1391"/>
      <c r="DS11" s="1391"/>
      <c r="DT11" s="1391"/>
      <c r="DU11" s="1391"/>
      <c r="DV11" s="1391"/>
      <c r="DW11" s="1391"/>
      <c r="DX11" s="1391"/>
      <c r="DY11" s="1391"/>
      <c r="DZ11" s="1391"/>
      <c r="EA11" s="1391"/>
      <c r="EB11" s="1391"/>
      <c r="EC11" s="1391"/>
      <c r="ED11" s="1391"/>
      <c r="EE11" s="1391"/>
      <c r="EF11" s="1391"/>
      <c r="EG11" s="1391"/>
      <c r="EH11" s="1391"/>
      <c r="EI11" s="1391"/>
      <c r="EJ11" s="1391"/>
      <c r="EK11" s="1391"/>
      <c r="EL11" s="1391"/>
      <c r="EM11" s="1391"/>
      <c r="EN11" s="1391"/>
      <c r="EO11" s="1391"/>
      <c r="EP11" s="1391"/>
      <c r="EQ11" s="1391"/>
      <c r="ER11" s="1391"/>
      <c r="ES11" s="1391"/>
      <c r="ET11" s="1391"/>
      <c r="EU11" s="1391"/>
      <c r="EV11" s="1391"/>
      <c r="EW11" s="1391"/>
      <c r="EX11" s="1391"/>
      <c r="EY11" s="1391"/>
      <c r="EZ11" s="1391"/>
      <c r="FA11" s="1391"/>
      <c r="FB11" s="1391"/>
      <c r="FC11" s="1391"/>
      <c r="FD11" s="1391"/>
      <c r="FE11" s="1391"/>
      <c r="FF11" s="1391"/>
      <c r="FG11" s="1391"/>
      <c r="FH11" s="1391"/>
      <c r="FI11" s="1391"/>
      <c r="FJ11" s="1391"/>
      <c r="FK11" s="1391"/>
      <c r="FL11" s="1391"/>
      <c r="FM11" s="1391"/>
      <c r="FN11" s="1391"/>
      <c r="FO11" s="1391"/>
      <c r="FP11" s="1391"/>
      <c r="FQ11" s="1391"/>
      <c r="FR11" s="1391"/>
      <c r="FS11" s="1391"/>
      <c r="FT11" s="1391"/>
      <c r="FU11" s="1391"/>
      <c r="FV11" s="1391"/>
      <c r="FW11" s="1391"/>
      <c r="FX11" s="1391"/>
      <c r="FY11" s="1391"/>
      <c r="FZ11" s="1391"/>
      <c r="GA11" s="1391"/>
      <c r="GB11" s="1391"/>
      <c r="GC11" s="1391"/>
      <c r="GD11" s="1391"/>
      <c r="GE11" s="1391"/>
      <c r="GF11" s="1391"/>
      <c r="GG11" s="1391"/>
      <c r="GH11" s="1391"/>
      <c r="GI11" s="1391"/>
      <c r="GJ11" s="1391"/>
      <c r="GK11" s="1391"/>
      <c r="GL11" s="1391"/>
      <c r="GM11" s="1391"/>
      <c r="GN11" s="1391"/>
      <c r="GO11" s="1391"/>
      <c r="GP11" s="1391"/>
      <c r="GQ11" s="1391"/>
      <c r="GR11" s="1391"/>
      <c r="GS11" s="1391"/>
      <c r="GT11" s="1391"/>
      <c r="GU11" s="1391"/>
      <c r="GV11" s="1391"/>
      <c r="GW11" s="1391"/>
      <c r="GX11" s="1391"/>
      <c r="GY11" s="1391"/>
      <c r="GZ11" s="1391"/>
      <c r="HA11" s="1391"/>
      <c r="HB11" s="1391"/>
      <c r="HC11" s="1391"/>
      <c r="HD11" s="1391"/>
      <c r="HE11" s="1391"/>
      <c r="HF11" s="1391"/>
      <c r="HG11" s="1391"/>
      <c r="HH11" s="1391"/>
      <c r="HI11" s="1391"/>
      <c r="HJ11" s="1391"/>
      <c r="HK11" s="1391"/>
      <c r="HL11" s="1391"/>
      <c r="HM11" s="1391"/>
      <c r="HN11" s="1391"/>
      <c r="HO11" s="1391"/>
      <c r="HP11" s="1391"/>
      <c r="HQ11" s="1391"/>
      <c r="HR11" s="1391"/>
      <c r="HS11" s="1391"/>
      <c r="HT11" s="1391"/>
      <c r="HU11" s="1391"/>
      <c r="HV11" s="1391"/>
      <c r="HW11" s="1391"/>
      <c r="HX11" s="1391"/>
      <c r="HY11" s="1391"/>
      <c r="HZ11" s="1391"/>
      <c r="IA11" s="1391"/>
      <c r="IB11" s="1391"/>
      <c r="IC11" s="1391"/>
      <c r="ID11" s="1391"/>
      <c r="IE11" s="1391"/>
      <c r="IF11" s="1391"/>
      <c r="IG11" s="1391"/>
      <c r="IH11" s="1391"/>
      <c r="II11" s="1391"/>
      <c r="IJ11" s="1391"/>
      <c r="IK11" s="1391"/>
      <c r="IL11" s="1391"/>
      <c r="IM11" s="1391"/>
      <c r="IN11" s="1391"/>
      <c r="IO11" s="1391"/>
      <c r="IP11" s="1391"/>
      <c r="IQ11" s="1391"/>
      <c r="IR11" s="1391"/>
      <c r="IS11" s="1391"/>
      <c r="IT11" s="1391"/>
      <c r="IU11" s="1391"/>
      <c r="IV11" s="1391"/>
    </row>
    <row r="12" spans="1:256" ht="13.5" thickBot="1" x14ac:dyDescent="0.25">
      <c r="A12" s="1132"/>
      <c r="B12" s="1131"/>
      <c r="C12" s="1139"/>
      <c r="D12" s="1132" t="s">
        <v>14</v>
      </c>
      <c r="E12" s="1131"/>
      <c r="F12" s="1133" t="s">
        <v>34</v>
      </c>
      <c r="G12" s="1392"/>
      <c r="H12" s="1389"/>
      <c r="I12" s="1162">
        <v>10.4</v>
      </c>
      <c r="J12" s="1163"/>
      <c r="K12" s="1389"/>
      <c r="L12" s="1162">
        <v>10.4</v>
      </c>
      <c r="M12" s="1163"/>
      <c r="N12" s="1389"/>
      <c r="O12" s="1162">
        <v>10.4</v>
      </c>
      <c r="P12" s="1163"/>
      <c r="Q12" s="1389"/>
      <c r="R12" s="1162">
        <v>10.4</v>
      </c>
      <c r="S12" s="1163"/>
      <c r="T12" s="1389"/>
      <c r="U12" s="1162">
        <v>10.4</v>
      </c>
      <c r="V12" s="1163"/>
      <c r="W12" s="1389"/>
      <c r="X12" s="1162">
        <v>10.4</v>
      </c>
      <c r="Y12" s="1163"/>
      <c r="Z12" s="1389"/>
      <c r="AA12" s="1162">
        <v>10.4</v>
      </c>
      <c r="AB12" s="1163"/>
      <c r="AC12" s="1389"/>
      <c r="AD12" s="1162">
        <v>10.4</v>
      </c>
      <c r="AE12" s="1163"/>
      <c r="AF12" s="1389"/>
      <c r="AG12" s="1162">
        <v>10.4</v>
      </c>
      <c r="AH12" s="1163"/>
      <c r="AI12" s="1389"/>
      <c r="AJ12" s="1162">
        <v>10.4</v>
      </c>
      <c r="AK12" s="1163"/>
      <c r="AL12" s="1389"/>
      <c r="AM12" s="1162">
        <v>10.4</v>
      </c>
      <c r="AN12" s="1163"/>
      <c r="AO12" s="1389"/>
      <c r="AP12" s="1162">
        <v>10.4</v>
      </c>
      <c r="AQ12" s="1163"/>
      <c r="AR12" s="1389"/>
      <c r="AS12" s="1162">
        <v>10.4</v>
      </c>
      <c r="AT12" s="1163"/>
      <c r="AU12" s="1389"/>
      <c r="AV12" s="1162">
        <v>10.4</v>
      </c>
      <c r="AW12" s="1163"/>
      <c r="AX12" s="1389"/>
      <c r="AY12" s="1162">
        <v>10.4</v>
      </c>
      <c r="AZ12" s="1163"/>
      <c r="BA12" s="1389"/>
      <c r="BB12" s="1162">
        <v>10.4</v>
      </c>
      <c r="BC12" s="1163"/>
      <c r="BD12" s="1389"/>
      <c r="BE12" s="1162">
        <v>10.4</v>
      </c>
      <c r="BF12" s="1163"/>
      <c r="BG12" s="1389"/>
      <c r="BH12" s="1162">
        <v>10.4</v>
      </c>
      <c r="BI12" s="1163"/>
      <c r="BJ12" s="1389"/>
      <c r="BK12" s="1162">
        <v>10.4</v>
      </c>
      <c r="BL12" s="1163"/>
      <c r="BM12" s="1389"/>
      <c r="BN12" s="1162">
        <v>10.4</v>
      </c>
      <c r="BO12" s="1163"/>
      <c r="BP12" s="1389"/>
      <c r="BQ12" s="1162">
        <v>10.4</v>
      </c>
      <c r="BR12" s="1163"/>
      <c r="BS12" s="1389"/>
      <c r="BT12" s="1162">
        <v>10.4</v>
      </c>
      <c r="BU12" s="1163"/>
      <c r="BV12" s="1389"/>
      <c r="BW12" s="1162">
        <v>10.4</v>
      </c>
      <c r="BX12" s="1163"/>
      <c r="BY12" s="1389"/>
      <c r="BZ12" s="1162">
        <v>10.4</v>
      </c>
      <c r="CA12" s="1163"/>
    </row>
    <row r="13" spans="1:256" ht="13.5" thickBot="1" x14ac:dyDescent="0.25">
      <c r="A13" s="1132"/>
      <c r="B13" s="1131"/>
      <c r="C13" s="1393"/>
      <c r="D13" s="1184" t="s">
        <v>83</v>
      </c>
      <c r="E13" s="1185"/>
      <c r="F13" s="1185"/>
      <c r="G13" s="1186"/>
      <c r="H13" s="1168"/>
      <c r="I13" s="1169"/>
      <c r="J13" s="1170"/>
      <c r="K13" s="1168"/>
      <c r="L13" s="1169"/>
      <c r="M13" s="1170"/>
      <c r="N13" s="1168"/>
      <c r="O13" s="1169"/>
      <c r="P13" s="1170"/>
      <c r="Q13" s="1168"/>
      <c r="R13" s="1169"/>
      <c r="S13" s="1170"/>
      <c r="T13" s="1168"/>
      <c r="U13" s="1169"/>
      <c r="V13" s="1170"/>
      <c r="W13" s="1168"/>
      <c r="X13" s="1169"/>
      <c r="Y13" s="1170"/>
      <c r="Z13" s="1168"/>
      <c r="AA13" s="1169"/>
      <c r="AB13" s="1170"/>
      <c r="AC13" s="1168"/>
      <c r="AD13" s="1169"/>
      <c r="AE13" s="1170"/>
      <c r="AF13" s="1168"/>
      <c r="AG13" s="1169"/>
      <c r="AH13" s="1170"/>
      <c r="AI13" s="1168"/>
      <c r="AJ13" s="1169"/>
      <c r="AK13" s="1170"/>
      <c r="AL13" s="1168"/>
      <c r="AM13" s="1169"/>
      <c r="AN13" s="1170"/>
      <c r="AO13" s="1168"/>
      <c r="AP13" s="1169"/>
      <c r="AQ13" s="1170"/>
      <c r="AR13" s="1168"/>
      <c r="AS13" s="1169"/>
      <c r="AT13" s="1170"/>
      <c r="AU13" s="1168"/>
      <c r="AV13" s="1169"/>
      <c r="AW13" s="1170"/>
      <c r="AX13" s="1168"/>
      <c r="AY13" s="1169"/>
      <c r="AZ13" s="1170"/>
      <c r="BA13" s="1168"/>
      <c r="BB13" s="1169"/>
      <c r="BC13" s="1170"/>
      <c r="BD13" s="1168"/>
      <c r="BE13" s="1169"/>
      <c r="BF13" s="1170"/>
      <c r="BG13" s="1168"/>
      <c r="BH13" s="1169"/>
      <c r="BI13" s="1170"/>
      <c r="BJ13" s="1168"/>
      <c r="BK13" s="1169"/>
      <c r="BL13" s="1170"/>
      <c r="BM13" s="1168"/>
      <c r="BN13" s="1169"/>
      <c r="BO13" s="1170"/>
      <c r="BP13" s="1168"/>
      <c r="BQ13" s="1169"/>
      <c r="BR13" s="1170"/>
      <c r="BS13" s="1168"/>
      <c r="BT13" s="1169"/>
      <c r="BU13" s="1170"/>
      <c r="BV13" s="1168"/>
      <c r="BW13" s="1169"/>
      <c r="BX13" s="1170"/>
      <c r="BY13" s="1168"/>
      <c r="BZ13" s="1169"/>
      <c r="CA13" s="1170"/>
    </row>
    <row r="14" spans="1:256" x14ac:dyDescent="0.2">
      <c r="A14" s="1121"/>
      <c r="B14" s="1394"/>
      <c r="C14" s="1395"/>
      <c r="D14" s="1124"/>
      <c r="E14" s="1125"/>
      <c r="F14" s="1124" t="s">
        <v>33</v>
      </c>
      <c r="G14" s="1126"/>
      <c r="H14" s="1127">
        <f>SQRT(I14^2+J14^2)*1000/(1.73*I17)</f>
        <v>16.771107761447919</v>
      </c>
      <c r="I14" s="1128">
        <v>3.3792</v>
      </c>
      <c r="J14" s="1129">
        <v>0.32339999999999997</v>
      </c>
      <c r="K14" s="1127">
        <f>SQRT(L14^2+M14^2)*1000/(1.73*L17)</f>
        <v>16.132040003773621</v>
      </c>
      <c r="L14" s="1128">
        <v>3.2471999999999999</v>
      </c>
      <c r="M14" s="1129">
        <v>0.34320000000000006</v>
      </c>
      <c r="N14" s="1127">
        <f>SQRT(O14^2+P14^2)*1000/(1.73*O17)</f>
        <v>16.020285766559262</v>
      </c>
      <c r="O14" s="1128">
        <v>3.2241</v>
      </c>
      <c r="P14" s="1129">
        <v>0.34649999999999997</v>
      </c>
      <c r="Q14" s="1127">
        <f>SQRT(R14^2+S14^2)*1000/(1.73*R17)</f>
        <v>15.825777227554383</v>
      </c>
      <c r="R14" s="1128">
        <v>3.1844999999999999</v>
      </c>
      <c r="S14" s="1129">
        <v>0.34649999999999997</v>
      </c>
      <c r="T14" s="1127">
        <f>SQRT(U14^2+V14^2)*1000/(1.73*U17)</f>
        <v>15.712326916408434</v>
      </c>
      <c r="U14" s="1128">
        <v>3.1614</v>
      </c>
      <c r="V14" s="1129">
        <v>0.34649999999999997</v>
      </c>
      <c r="W14" s="1127">
        <f>SQRT(X14^2+Y14^2)*1000/(1.73*X17)</f>
        <v>15.998917860460464</v>
      </c>
      <c r="X14" s="1128">
        <v>3.2208000000000001</v>
      </c>
      <c r="Y14" s="1129">
        <v>0.33660000000000001</v>
      </c>
      <c r="Z14" s="1127">
        <f>SQRT(AA14^2+AB14^2)*1000/(1.73*AA17)</f>
        <v>16.968972458097802</v>
      </c>
      <c r="AA14" s="1128">
        <v>3.4188000000000001</v>
      </c>
      <c r="AB14" s="1129">
        <v>0.33</v>
      </c>
      <c r="AC14" s="1127">
        <f>SQRT(AD14^2+AE14^2)*1000/(1.73*AD17)</f>
        <v>18.010832453931954</v>
      </c>
      <c r="AD14" s="1128">
        <v>3.63</v>
      </c>
      <c r="AE14" s="1129">
        <v>0.33660000000000001</v>
      </c>
      <c r="AF14" s="1127">
        <f>SQRT(AG14^2+AH14^2)*1000/(1.73*AG17)</f>
        <v>19.323336361445474</v>
      </c>
      <c r="AG14" s="1128">
        <v>3.9104999999999999</v>
      </c>
      <c r="AH14" s="1129">
        <v>7.5900000000000009E-2</v>
      </c>
      <c r="AI14" s="1127">
        <f>SQRT(AJ14^2+AK14^2)*1000/(1.73*AJ17)</f>
        <v>19.389909184629776</v>
      </c>
      <c r="AJ14" s="1128">
        <v>3.9236999999999997</v>
      </c>
      <c r="AK14" s="1129">
        <v>-8.9099999999999999E-2</v>
      </c>
      <c r="AL14" s="1127">
        <f>SQRT(AM14^2+AN14^2)*1000/(1.73*AM17)</f>
        <v>19.044324029797782</v>
      </c>
      <c r="AM14" s="1128">
        <v>3.8544</v>
      </c>
      <c r="AN14" s="1129">
        <v>5.2800000000000014E-2</v>
      </c>
      <c r="AO14" s="1127">
        <f>SQRT(AP14^2+AQ14^2)*1000/(1.73*AP17)</f>
        <v>18.840554366769201</v>
      </c>
      <c r="AP14" s="1128">
        <v>3.8081999999999998</v>
      </c>
      <c r="AQ14" s="1129">
        <v>0.20130000000000001</v>
      </c>
      <c r="AR14" s="1127">
        <f>SQRT(AS14^2+AT14^2)*1000/(1.73*AS17)</f>
        <v>18.767700067814388</v>
      </c>
      <c r="AS14" s="1128">
        <v>3.7883999999999998</v>
      </c>
      <c r="AT14" s="1129">
        <v>0.28050000000000003</v>
      </c>
      <c r="AU14" s="1127">
        <f>SQRT(AV14^2+AW14^2)*1000/(1.73*AV17)</f>
        <v>18.75024322783846</v>
      </c>
      <c r="AV14" s="1128">
        <v>3.7883999999999998</v>
      </c>
      <c r="AW14" s="1129">
        <v>0.22769999999999999</v>
      </c>
      <c r="AX14" s="1127">
        <f>SQRT(AY14^2+AZ14^2)*1000/(1.73*AY17)</f>
        <v>18.863452098840977</v>
      </c>
      <c r="AY14" s="1128">
        <v>3.8180999999999998</v>
      </c>
      <c r="AZ14" s="1129">
        <v>-1.9799999999999984E-2</v>
      </c>
      <c r="BA14" s="1127">
        <f>SQRT(BB14^2+BC14^2)*1000/(1.73*BB17)</f>
        <v>19.338289869652517</v>
      </c>
      <c r="BB14" s="1128">
        <v>3.9104999999999999</v>
      </c>
      <c r="BC14" s="1129">
        <v>0.1716</v>
      </c>
      <c r="BD14" s="1127">
        <f>SQRT(BE14^2+BF14^2)*1000/(1.73*BE17)</f>
        <v>19.926810761947802</v>
      </c>
      <c r="BE14" s="1128">
        <v>4.0293000000000001</v>
      </c>
      <c r="BF14" s="1129">
        <v>0.18150000000000002</v>
      </c>
      <c r="BG14" s="1127">
        <f>SQRT(BH14^2+BI14^2)*1000/(1.73*BH17)</f>
        <v>19.860799658518928</v>
      </c>
      <c r="BH14" s="1128">
        <v>4.0128000000000004</v>
      </c>
      <c r="BI14" s="1129">
        <v>0.24089999999999998</v>
      </c>
      <c r="BJ14" s="1127">
        <f>SQRT(BK14^2+BL14^2)*1000/(1.73*BK17)</f>
        <v>19.521652156190438</v>
      </c>
      <c r="BK14" s="1128">
        <v>3.9401999999999999</v>
      </c>
      <c r="BL14" s="1129">
        <v>0.29699999999999999</v>
      </c>
      <c r="BM14" s="1127">
        <f>SQRT(BN14^2+BO14^2)*1000/(1.73*BN17)</f>
        <v>19.396638862992585</v>
      </c>
      <c r="BN14" s="1128">
        <v>3.9138000000000002</v>
      </c>
      <c r="BO14" s="1129">
        <v>0.31019999999999998</v>
      </c>
      <c r="BP14" s="1127">
        <f>SQRT(BQ14^2+BR14^2)*1000/(1.73*BQ17)</f>
        <v>19.2003198416154</v>
      </c>
      <c r="BQ14" s="1128">
        <v>3.8741999999999996</v>
      </c>
      <c r="BR14" s="1129">
        <v>0.30689999999999995</v>
      </c>
      <c r="BS14" s="1127">
        <f>SQRT(BT14^2+BU14^2)*1000/(1.73*BT17)</f>
        <v>18.955243201052681</v>
      </c>
      <c r="BT14" s="1128">
        <v>3.8247</v>
      </c>
      <c r="BU14" s="1129">
        <v>0.30360000000000004</v>
      </c>
      <c r="BV14" s="1127">
        <f>SQRT(BW14^2+BX14^2)*1000/(1.73*BW17)</f>
        <v>18.141396297168143</v>
      </c>
      <c r="BW14" s="1128">
        <v>3.6597</v>
      </c>
      <c r="BX14" s="1129">
        <v>0.30030000000000001</v>
      </c>
      <c r="BY14" s="1127">
        <f>SQRT(BZ14^2+CA14^2)*1000/(1.73*BZ17)</f>
        <v>17.396865169139868</v>
      </c>
      <c r="BZ14" s="1128">
        <v>3.5079000000000002</v>
      </c>
      <c r="CA14" s="1129">
        <v>0.30689999999999995</v>
      </c>
      <c r="CB14" s="1383">
        <f>SUM(I14,L14,O14,R14,U14,X14,AA14,AD14,AG14,AJ14,AM14,AP14,AS14,AV14,AY14,BB14,BE14,BH14,BK14,BN14,BQ14,BT14,BW14,BZ14)</f>
        <v>88.030800000000013</v>
      </c>
      <c r="CC14" s="1383">
        <f>SUM(J14,M14,P14,S14,V14,Y14,AB14,AE14,AH14,AK14,AN14,AQ14,AT14,AW14,AZ14,BC14,BF14,BI14,BL14,BO14,BR14,BU14,BX14,CA14)</f>
        <v>5.857499999999999</v>
      </c>
    </row>
    <row r="15" spans="1:256" ht="13.5" thickBot="1" x14ac:dyDescent="0.25">
      <c r="A15" s="1130"/>
      <c r="B15" s="1079"/>
      <c r="C15" s="1396"/>
      <c r="D15" s="1132" t="s">
        <v>13</v>
      </c>
      <c r="E15" s="1079"/>
      <c r="F15" s="1133" t="s">
        <v>34</v>
      </c>
      <c r="G15" s="1134"/>
      <c r="H15" s="1135">
        <f>SQRT(I15^2+J15^2)*1000/(1.73*I18)</f>
        <v>188.94054760991023</v>
      </c>
      <c r="I15" s="1136">
        <v>3.3780000000000001</v>
      </c>
      <c r="J15" s="1129">
        <v>-0.38100000000000001</v>
      </c>
      <c r="K15" s="1135">
        <f>SQRT(L15^2+M15^2)*1000/(1.73*L18)</f>
        <v>181.50221482164159</v>
      </c>
      <c r="L15" s="1136">
        <v>3.24</v>
      </c>
      <c r="M15" s="1129">
        <v>-0.40799999999999997</v>
      </c>
      <c r="N15" s="1135">
        <f>SQRT(O15^2+P15^2)*1000/(1.73*O18)</f>
        <v>180.28201828996097</v>
      </c>
      <c r="O15" s="1136">
        <v>3.2189999999999999</v>
      </c>
      <c r="P15" s="1129">
        <v>-0.39900000000000002</v>
      </c>
      <c r="Q15" s="1135">
        <f>SQRT(R15^2+S15^2)*1000/(1.73*R18)</f>
        <v>178.17287427553373</v>
      </c>
      <c r="R15" s="1136">
        <v>3.18</v>
      </c>
      <c r="S15" s="1129">
        <v>-0.40500000000000003</v>
      </c>
      <c r="T15" s="1135">
        <f>SQRT(U15^2+V15^2)*1000/(1.73*U18)</f>
        <v>176.82857083110224</v>
      </c>
      <c r="U15" s="1136">
        <v>3.1560000000000001</v>
      </c>
      <c r="V15" s="1129">
        <v>-0.40200000000000002</v>
      </c>
      <c r="W15" s="1135">
        <f>SQRT(X15^2+Y15^2)*1000/(1.73*X18)</f>
        <v>180.09609137454996</v>
      </c>
      <c r="X15" s="1136">
        <v>3.2160000000000002</v>
      </c>
      <c r="Y15" s="1129">
        <v>-0.39600000000000002</v>
      </c>
      <c r="Z15" s="1135">
        <f>SQRT(AA15^2+AB15^2)*1000/(1.73*AA18)</f>
        <v>191.24708815991514</v>
      </c>
      <c r="AA15" s="1136">
        <v>3.4169999999999998</v>
      </c>
      <c r="AB15" s="1129">
        <v>-0.40500000000000003</v>
      </c>
      <c r="AC15" s="1135">
        <f>SQRT(AD15^2+AE15^2)*1000/(1.73*AD18)</f>
        <v>202.99482257415875</v>
      </c>
      <c r="AD15" s="1136">
        <v>3.6269999999999998</v>
      </c>
      <c r="AE15" s="1129">
        <v>-0.42899999999999999</v>
      </c>
      <c r="AF15" s="1135">
        <f>SQRT(AG15^2+AH15^2)*1000/(1.73*AG18)</f>
        <v>217.86990357978542</v>
      </c>
      <c r="AG15" s="1136">
        <v>3.9060000000000001</v>
      </c>
      <c r="AH15" s="1129">
        <v>-0.33</v>
      </c>
      <c r="AI15" s="1135">
        <f>SQRT(AJ15^2+AK15^2)*1000/(1.73*AJ18)</f>
        <v>218.73339157679763</v>
      </c>
      <c r="AJ15" s="1136">
        <v>3.9239999999999999</v>
      </c>
      <c r="AK15" s="1129">
        <v>-0.3</v>
      </c>
      <c r="AL15" s="1135">
        <f>SQRT(AM15^2+AN15^2)*1000/(1.73*AM18)</f>
        <v>214.61668690776139</v>
      </c>
      <c r="AM15" s="1136">
        <v>3.8490000000000002</v>
      </c>
      <c r="AN15" s="1129">
        <v>-0.309</v>
      </c>
      <c r="AO15" s="1135">
        <f>SQRT(AP15^2+AQ15^2)*1000/(1.73*AP18)</f>
        <v>212.23585475336358</v>
      </c>
      <c r="AP15" s="1136">
        <v>3.8039999999999998</v>
      </c>
      <c r="AQ15" s="1129">
        <v>-0.33300000000000002</v>
      </c>
      <c r="AR15" s="1135">
        <f>SQRT(AS15^2+AT15^2)*1000/(1.73*AS18)</f>
        <v>211.40783826999899</v>
      </c>
      <c r="AS15" s="1136">
        <v>3.786</v>
      </c>
      <c r="AT15" s="1129">
        <v>-0.36599999999999999</v>
      </c>
      <c r="AU15" s="1135">
        <f>SQRT(AV15^2+AW15^2)*1000/(1.73*AV18)</f>
        <v>211.34470349599925</v>
      </c>
      <c r="AV15" s="1136">
        <v>3.786</v>
      </c>
      <c r="AW15" s="1129">
        <v>-0.35399999999999998</v>
      </c>
      <c r="AX15" s="1135">
        <f>SQRT(AY15^2+AZ15^2)*1000/(1.73*AY18)</f>
        <v>212.92803327189054</v>
      </c>
      <c r="AY15" s="1136">
        <v>3.819</v>
      </c>
      <c r="AZ15" s="1129">
        <v>-0.30299999999999999</v>
      </c>
      <c r="BA15" s="1135">
        <f>SQRT(BB15^2+BC15^2)*1000/(1.73*BB18)</f>
        <v>217.88400408286981</v>
      </c>
      <c r="BB15" s="1136">
        <v>3.9060000000000001</v>
      </c>
      <c r="BC15" s="1129">
        <v>-0.33300000000000002</v>
      </c>
      <c r="BD15" s="1135">
        <f>SQRT(BE15^2+BF15^2)*1000/(1.73*BE18)</f>
        <v>224.69641694245465</v>
      </c>
      <c r="BE15" s="1136">
        <v>4.0289999999999999</v>
      </c>
      <c r="BF15" s="1129">
        <v>-0.33300000000000002</v>
      </c>
      <c r="BG15" s="1135">
        <f>SQRT(BH15^2+BI15^2)*1000/(1.73*BH18)</f>
        <v>223.74132943202468</v>
      </c>
      <c r="BH15" s="1136">
        <v>4.0110000000000001</v>
      </c>
      <c r="BI15" s="1129">
        <v>-0.34200000000000003</v>
      </c>
      <c r="BJ15" s="1135">
        <f>SQRT(BK15^2+BL15^2)*1000/(1.73*BK18)</f>
        <v>220.0678185015849</v>
      </c>
      <c r="BK15" s="1136">
        <v>3.9390000000000001</v>
      </c>
      <c r="BL15" s="1129">
        <v>-0.40200000000000002</v>
      </c>
      <c r="BM15" s="1135">
        <f>SQRT(BN15^2+BO15^2)*1000/(1.73*BN18)</f>
        <v>218.64414444685502</v>
      </c>
      <c r="BN15" s="1136">
        <v>3.9119999999999999</v>
      </c>
      <c r="BO15" s="1129">
        <v>-0.41399999999999998</v>
      </c>
      <c r="BP15" s="1135">
        <f>SQRT(BQ15^2+BR15^2)*1000/(1.73*BQ18)</f>
        <v>216.43607558180156</v>
      </c>
      <c r="BQ15" s="1136">
        <v>3.8730000000000002</v>
      </c>
      <c r="BR15" s="1129">
        <v>-0.40500000000000003</v>
      </c>
      <c r="BS15" s="1135">
        <f>SQRT(BT15^2+BU15^2)*1000/(1.73*BT18)</f>
        <v>213.53081542239454</v>
      </c>
      <c r="BT15" s="1136">
        <v>3.8220000000000001</v>
      </c>
      <c r="BU15" s="1129">
        <v>-0.39</v>
      </c>
      <c r="BV15" s="1135">
        <f>SQRT(BW15^2+BX15^2)*1000/(1.73*BW18)</f>
        <v>204.39195306383712</v>
      </c>
      <c r="BW15" s="1136">
        <v>3.657</v>
      </c>
      <c r="BX15" s="1129">
        <v>-0.38700000000000001</v>
      </c>
      <c r="BY15" s="1135">
        <f>SQRT(BZ15^2+CA15^2)*1000/(1.73*BZ18)</f>
        <v>195.73534583833754</v>
      </c>
      <c r="BZ15" s="1136">
        <v>3.5009999999999999</v>
      </c>
      <c r="CA15" s="1129">
        <v>-0.38100000000000001</v>
      </c>
      <c r="CB15" s="1383">
        <f>SUM(I15,L15,O15,R15,U15,X15,AA15,AD15,AG15,AJ15,AM15,AP15,AS15,AV15,AY15,BB15,BE15,BH15,BK15,BN15,BQ15,BT15,BW15,BZ15)</f>
        <v>87.957000000000022</v>
      </c>
      <c r="CC15" s="1383">
        <f>SUM(J15,M15,P15,S15,V15,Y15,AB15,AE15,AH15,AK15,AN15,AQ15,AT15,AW15,AZ15,BC15,BF15,BI15,BL15,BO15,BR15,BU15,BX15,CA15)</f>
        <v>-8.907</v>
      </c>
    </row>
    <row r="16" spans="1:256" ht="13.5" thickBot="1" x14ac:dyDescent="0.25">
      <c r="A16" s="1137"/>
      <c r="B16" s="1139" t="s">
        <v>1</v>
      </c>
      <c r="C16" s="1396">
        <v>16</v>
      </c>
      <c r="D16" s="1140" t="s">
        <v>39</v>
      </c>
      <c r="E16" s="1141"/>
      <c r="F16" s="1141"/>
      <c r="G16" s="1142"/>
      <c r="H16" s="1143"/>
      <c r="I16" s="1144" t="s">
        <v>308</v>
      </c>
      <c r="J16" s="1145"/>
      <c r="K16" s="1143"/>
      <c r="L16" s="1144" t="s">
        <v>308</v>
      </c>
      <c r="M16" s="1145"/>
      <c r="N16" s="1143"/>
      <c r="O16" s="1144" t="s">
        <v>308</v>
      </c>
      <c r="P16" s="1145"/>
      <c r="Q16" s="1143"/>
      <c r="R16" s="1144" t="s">
        <v>308</v>
      </c>
      <c r="S16" s="1145"/>
      <c r="T16" s="1143"/>
      <c r="U16" s="1144" t="s">
        <v>308</v>
      </c>
      <c r="V16" s="1145"/>
      <c r="W16" s="1143"/>
      <c r="X16" s="1144" t="s">
        <v>308</v>
      </c>
      <c r="Y16" s="1145"/>
      <c r="Z16" s="1143"/>
      <c r="AA16" s="1144" t="s">
        <v>308</v>
      </c>
      <c r="AB16" s="1145"/>
      <c r="AC16" s="1143"/>
      <c r="AD16" s="1144" t="s">
        <v>308</v>
      </c>
      <c r="AE16" s="1145"/>
      <c r="AF16" s="1143"/>
      <c r="AG16" s="1144" t="s">
        <v>308</v>
      </c>
      <c r="AH16" s="1145"/>
      <c r="AI16" s="1143"/>
      <c r="AJ16" s="1144" t="s">
        <v>308</v>
      </c>
      <c r="AK16" s="1145"/>
      <c r="AL16" s="1143"/>
      <c r="AM16" s="1144" t="s">
        <v>308</v>
      </c>
      <c r="AN16" s="1145"/>
      <c r="AO16" s="1143"/>
      <c r="AP16" s="1144" t="s">
        <v>308</v>
      </c>
      <c r="AQ16" s="1145"/>
      <c r="AR16" s="1143"/>
      <c r="AS16" s="1144" t="s">
        <v>308</v>
      </c>
      <c r="AT16" s="1145"/>
      <c r="AU16" s="1143"/>
      <c r="AV16" s="1144" t="s">
        <v>308</v>
      </c>
      <c r="AW16" s="1145"/>
      <c r="AX16" s="1143"/>
      <c r="AY16" s="1144" t="s">
        <v>308</v>
      </c>
      <c r="AZ16" s="1145"/>
      <c r="BA16" s="1143"/>
      <c r="BB16" s="1144" t="s">
        <v>308</v>
      </c>
      <c r="BC16" s="1145"/>
      <c r="BD16" s="1143"/>
      <c r="BE16" s="1144" t="s">
        <v>308</v>
      </c>
      <c r="BF16" s="1145"/>
      <c r="BG16" s="1143"/>
      <c r="BH16" s="1144" t="s">
        <v>308</v>
      </c>
      <c r="BI16" s="1145"/>
      <c r="BJ16" s="1143"/>
      <c r="BK16" s="1144" t="s">
        <v>308</v>
      </c>
      <c r="BL16" s="1145"/>
      <c r="BM16" s="1143"/>
      <c r="BN16" s="1144" t="s">
        <v>308</v>
      </c>
      <c r="BO16" s="1145"/>
      <c r="BP16" s="1143"/>
      <c r="BQ16" s="1144" t="s">
        <v>308</v>
      </c>
      <c r="BR16" s="1145"/>
      <c r="BS16" s="1143"/>
      <c r="BT16" s="1144" t="s">
        <v>308</v>
      </c>
      <c r="BU16" s="1145"/>
      <c r="BV16" s="1143"/>
      <c r="BW16" s="1144" t="s">
        <v>308</v>
      </c>
      <c r="BX16" s="1145"/>
      <c r="BY16" s="1143"/>
      <c r="BZ16" s="1144" t="s">
        <v>308</v>
      </c>
      <c r="CA16" s="1145"/>
      <c r="CB16" s="1146"/>
      <c r="CC16" s="1146"/>
      <c r="CD16" s="1146"/>
      <c r="CE16" s="1146"/>
      <c r="CF16" s="1146"/>
      <c r="CG16" s="1146"/>
      <c r="CH16" s="1146"/>
      <c r="CI16" s="1146"/>
      <c r="CJ16" s="1146"/>
      <c r="CK16" s="1146"/>
      <c r="CL16" s="1146"/>
      <c r="CM16" s="1146"/>
      <c r="CN16" s="1146"/>
      <c r="CO16" s="1146"/>
      <c r="CP16" s="1146"/>
      <c r="CQ16" s="1146"/>
      <c r="CR16" s="1146"/>
      <c r="CS16" s="1146"/>
      <c r="CT16" s="1146"/>
      <c r="CU16" s="1146"/>
      <c r="CV16" s="1146"/>
      <c r="CW16" s="1146"/>
      <c r="CX16" s="1146"/>
      <c r="CY16" s="1146"/>
      <c r="CZ16" s="1146"/>
      <c r="DA16" s="1146"/>
      <c r="DB16" s="1146"/>
      <c r="DC16" s="1146"/>
      <c r="DD16" s="1146"/>
      <c r="DE16" s="1146"/>
      <c r="DF16" s="1146"/>
      <c r="DG16" s="1146"/>
      <c r="DH16" s="1146"/>
      <c r="DI16" s="1146"/>
      <c r="DJ16" s="1146"/>
      <c r="DK16" s="1146"/>
      <c r="DL16" s="1146"/>
      <c r="DM16" s="1146"/>
      <c r="DN16" s="1146"/>
      <c r="DO16" s="1146"/>
      <c r="DP16" s="1146"/>
      <c r="DQ16" s="1146"/>
      <c r="DR16" s="1146"/>
      <c r="DS16" s="1146"/>
      <c r="DT16" s="1146"/>
      <c r="DU16" s="1146"/>
      <c r="DV16" s="1146"/>
      <c r="DW16" s="1146"/>
      <c r="DX16" s="1146"/>
      <c r="DY16" s="1146"/>
      <c r="DZ16" s="1146"/>
      <c r="EA16" s="1146"/>
      <c r="EB16" s="1146"/>
      <c r="EC16" s="1146"/>
      <c r="ED16" s="1146"/>
      <c r="EE16" s="1146"/>
      <c r="EF16" s="1146"/>
      <c r="EG16" s="1146"/>
      <c r="EH16" s="1146"/>
      <c r="EI16" s="1146"/>
      <c r="EJ16" s="1146"/>
      <c r="EK16" s="1146"/>
      <c r="EL16" s="1146"/>
      <c r="EM16" s="1146"/>
      <c r="EN16" s="1146"/>
      <c r="EO16" s="1146"/>
      <c r="EP16" s="1146"/>
      <c r="EQ16" s="1146"/>
      <c r="ER16" s="1146"/>
      <c r="ES16" s="1146"/>
      <c r="ET16" s="1146"/>
      <c r="EU16" s="1146"/>
      <c r="EV16" s="1146"/>
      <c r="EW16" s="1146"/>
      <c r="EX16" s="1146"/>
      <c r="EY16" s="1146"/>
      <c r="EZ16" s="1146"/>
      <c r="FA16" s="1146"/>
      <c r="FB16" s="1146"/>
      <c r="FC16" s="1146"/>
      <c r="FD16" s="1146"/>
      <c r="FE16" s="1146"/>
      <c r="FF16" s="1146"/>
      <c r="FG16" s="1146"/>
      <c r="FH16" s="1146"/>
      <c r="FI16" s="1146"/>
      <c r="FJ16" s="1146"/>
      <c r="FK16" s="1146"/>
      <c r="FL16" s="1146"/>
      <c r="FM16" s="1146"/>
      <c r="FN16" s="1146"/>
      <c r="FO16" s="1146"/>
      <c r="FP16" s="1146"/>
      <c r="FQ16" s="1146"/>
      <c r="FR16" s="1146"/>
      <c r="FS16" s="1146"/>
      <c r="FT16" s="1146"/>
      <c r="FU16" s="1146"/>
      <c r="FV16" s="1146"/>
      <c r="FW16" s="1146"/>
      <c r="FX16" s="1146"/>
      <c r="FY16" s="1146"/>
      <c r="FZ16" s="1146"/>
      <c r="GA16" s="1146"/>
      <c r="GB16" s="1146"/>
      <c r="GC16" s="1146"/>
      <c r="GD16" s="1146"/>
      <c r="GE16" s="1146"/>
      <c r="GF16" s="1146"/>
      <c r="GG16" s="1146"/>
      <c r="GH16" s="1146"/>
      <c r="GI16" s="1146"/>
      <c r="GJ16" s="1146"/>
      <c r="GK16" s="1146"/>
      <c r="GL16" s="1146"/>
      <c r="GM16" s="1146"/>
      <c r="GN16" s="1146"/>
      <c r="GO16" s="1146"/>
      <c r="GP16" s="1146"/>
      <c r="GQ16" s="1146"/>
      <c r="GR16" s="1146"/>
      <c r="GS16" s="1146"/>
      <c r="GT16" s="1146"/>
      <c r="GU16" s="1146"/>
      <c r="GV16" s="1146"/>
      <c r="GW16" s="1146"/>
      <c r="GX16" s="1146"/>
      <c r="GY16" s="1146"/>
      <c r="GZ16" s="1146"/>
      <c r="HA16" s="1146"/>
      <c r="HB16" s="1146"/>
      <c r="HC16" s="1146"/>
      <c r="HD16" s="1146"/>
      <c r="HE16" s="1146"/>
      <c r="HF16" s="1146"/>
      <c r="HG16" s="1146"/>
      <c r="HH16" s="1146"/>
      <c r="HI16" s="1146"/>
      <c r="HJ16" s="1146"/>
      <c r="HK16" s="1146"/>
      <c r="HL16" s="1146"/>
      <c r="HM16" s="1146"/>
      <c r="HN16" s="1146"/>
      <c r="HO16" s="1146"/>
      <c r="HP16" s="1146"/>
      <c r="HQ16" s="1146"/>
      <c r="HR16" s="1146"/>
      <c r="HS16" s="1146"/>
      <c r="HT16" s="1146"/>
      <c r="HU16" s="1146"/>
      <c r="HV16" s="1146"/>
      <c r="HW16" s="1146"/>
      <c r="HX16" s="1146"/>
      <c r="HY16" s="1146"/>
      <c r="HZ16" s="1146"/>
      <c r="IA16" s="1146"/>
      <c r="IB16" s="1146"/>
      <c r="IC16" s="1146"/>
      <c r="ID16" s="1146"/>
      <c r="IE16" s="1146"/>
      <c r="IF16" s="1146"/>
      <c r="IG16" s="1146"/>
      <c r="IH16" s="1146"/>
      <c r="II16" s="1146"/>
      <c r="IJ16" s="1146"/>
      <c r="IK16" s="1146"/>
      <c r="IL16" s="1146"/>
      <c r="IM16" s="1146"/>
      <c r="IN16" s="1146"/>
      <c r="IO16" s="1146"/>
      <c r="IP16" s="1146"/>
      <c r="IQ16" s="1146"/>
      <c r="IR16" s="1146"/>
      <c r="IS16" s="1146"/>
      <c r="IT16" s="1146"/>
      <c r="IU16" s="1146"/>
      <c r="IV16" s="1146"/>
    </row>
    <row r="17" spans="1:256" x14ac:dyDescent="0.2">
      <c r="A17" s="1384"/>
      <c r="B17" s="1385"/>
      <c r="C17" s="1386"/>
      <c r="D17" s="1384" t="s">
        <v>14</v>
      </c>
      <c r="E17" s="1385"/>
      <c r="F17" s="1387" t="s">
        <v>33</v>
      </c>
      <c r="G17" s="1397"/>
      <c r="H17" s="1389"/>
      <c r="I17" s="1155">
        <v>117</v>
      </c>
      <c r="J17" s="1390"/>
      <c r="K17" s="1389"/>
      <c r="L17" s="1155">
        <v>117</v>
      </c>
      <c r="M17" s="1390"/>
      <c r="N17" s="1389"/>
      <c r="O17" s="1155">
        <v>117</v>
      </c>
      <c r="P17" s="1390"/>
      <c r="Q17" s="1389"/>
      <c r="R17" s="1155">
        <v>117</v>
      </c>
      <c r="S17" s="1390"/>
      <c r="T17" s="1389"/>
      <c r="U17" s="1155">
        <v>117</v>
      </c>
      <c r="V17" s="1390"/>
      <c r="W17" s="1389"/>
      <c r="X17" s="1155">
        <v>117</v>
      </c>
      <c r="Y17" s="1390"/>
      <c r="Z17" s="1389"/>
      <c r="AA17" s="1155">
        <v>117</v>
      </c>
      <c r="AB17" s="1390"/>
      <c r="AC17" s="1389"/>
      <c r="AD17" s="1155">
        <v>117</v>
      </c>
      <c r="AE17" s="1390"/>
      <c r="AF17" s="1389"/>
      <c r="AG17" s="1155">
        <v>117</v>
      </c>
      <c r="AH17" s="1390"/>
      <c r="AI17" s="1389"/>
      <c r="AJ17" s="1155">
        <v>117</v>
      </c>
      <c r="AK17" s="1390"/>
      <c r="AL17" s="1389"/>
      <c r="AM17" s="1155">
        <v>117</v>
      </c>
      <c r="AN17" s="1390"/>
      <c r="AO17" s="1389"/>
      <c r="AP17" s="1155">
        <v>117</v>
      </c>
      <c r="AQ17" s="1390"/>
      <c r="AR17" s="1389"/>
      <c r="AS17" s="1155">
        <v>117</v>
      </c>
      <c r="AT17" s="1390"/>
      <c r="AU17" s="1389"/>
      <c r="AV17" s="1155">
        <v>117</v>
      </c>
      <c r="AW17" s="1390"/>
      <c r="AX17" s="1389"/>
      <c r="AY17" s="1155">
        <v>117</v>
      </c>
      <c r="AZ17" s="1390"/>
      <c r="BA17" s="1389"/>
      <c r="BB17" s="1155">
        <v>117</v>
      </c>
      <c r="BC17" s="1390"/>
      <c r="BD17" s="1389"/>
      <c r="BE17" s="1155">
        <v>117</v>
      </c>
      <c r="BF17" s="1390"/>
      <c r="BG17" s="1389"/>
      <c r="BH17" s="1155">
        <v>117</v>
      </c>
      <c r="BI17" s="1390"/>
      <c r="BJ17" s="1389"/>
      <c r="BK17" s="1155">
        <v>117</v>
      </c>
      <c r="BL17" s="1390"/>
      <c r="BM17" s="1389"/>
      <c r="BN17" s="1155">
        <v>117</v>
      </c>
      <c r="BO17" s="1390"/>
      <c r="BP17" s="1389"/>
      <c r="BQ17" s="1155">
        <v>117</v>
      </c>
      <c r="BR17" s="1390"/>
      <c r="BS17" s="1389"/>
      <c r="BT17" s="1155">
        <v>117</v>
      </c>
      <c r="BU17" s="1390"/>
      <c r="BV17" s="1389"/>
      <c r="BW17" s="1155">
        <v>117</v>
      </c>
      <c r="BX17" s="1390"/>
      <c r="BY17" s="1389"/>
      <c r="BZ17" s="1155">
        <v>117</v>
      </c>
      <c r="CA17" s="1390"/>
      <c r="CB17" s="1391"/>
      <c r="CC17" s="1391"/>
      <c r="CD17" s="1391"/>
      <c r="CE17" s="1391"/>
      <c r="CF17" s="1391"/>
      <c r="CG17" s="1391"/>
      <c r="CH17" s="1391"/>
      <c r="CI17" s="1391"/>
      <c r="CJ17" s="1391"/>
      <c r="CK17" s="1391"/>
      <c r="CL17" s="1391"/>
      <c r="CM17" s="1391"/>
      <c r="CN17" s="1391"/>
      <c r="CO17" s="1391"/>
      <c r="CP17" s="1391"/>
      <c r="CQ17" s="1391"/>
      <c r="CR17" s="1391"/>
      <c r="CS17" s="1391"/>
      <c r="CT17" s="1391"/>
      <c r="CU17" s="1391"/>
      <c r="CV17" s="1391"/>
      <c r="CW17" s="1391"/>
      <c r="CX17" s="1391"/>
      <c r="CY17" s="1391"/>
      <c r="CZ17" s="1391"/>
      <c r="DA17" s="1391"/>
      <c r="DB17" s="1391"/>
      <c r="DC17" s="1391"/>
      <c r="DD17" s="1391"/>
      <c r="DE17" s="1391"/>
      <c r="DF17" s="1391"/>
      <c r="DG17" s="1391"/>
      <c r="DH17" s="1391"/>
      <c r="DI17" s="1391"/>
      <c r="DJ17" s="1391"/>
      <c r="DK17" s="1391"/>
      <c r="DL17" s="1391"/>
      <c r="DM17" s="1391"/>
      <c r="DN17" s="1391"/>
      <c r="DO17" s="1391"/>
      <c r="DP17" s="1391"/>
      <c r="DQ17" s="1391"/>
      <c r="DR17" s="1391"/>
      <c r="DS17" s="1391"/>
      <c r="DT17" s="1391"/>
      <c r="DU17" s="1391"/>
      <c r="DV17" s="1391"/>
      <c r="DW17" s="1391"/>
      <c r="DX17" s="1391"/>
      <c r="DY17" s="1391"/>
      <c r="DZ17" s="1391"/>
      <c r="EA17" s="1391"/>
      <c r="EB17" s="1391"/>
      <c r="EC17" s="1391"/>
      <c r="ED17" s="1391"/>
      <c r="EE17" s="1391"/>
      <c r="EF17" s="1391"/>
      <c r="EG17" s="1391"/>
      <c r="EH17" s="1391"/>
      <c r="EI17" s="1391"/>
      <c r="EJ17" s="1391"/>
      <c r="EK17" s="1391"/>
      <c r="EL17" s="1391"/>
      <c r="EM17" s="1391"/>
      <c r="EN17" s="1391"/>
      <c r="EO17" s="1391"/>
      <c r="EP17" s="1391"/>
      <c r="EQ17" s="1391"/>
      <c r="ER17" s="1391"/>
      <c r="ES17" s="1391"/>
      <c r="ET17" s="1391"/>
      <c r="EU17" s="1391"/>
      <c r="EV17" s="1391"/>
      <c r="EW17" s="1391"/>
      <c r="EX17" s="1391"/>
      <c r="EY17" s="1391"/>
      <c r="EZ17" s="1391"/>
      <c r="FA17" s="1391"/>
      <c r="FB17" s="1391"/>
      <c r="FC17" s="1391"/>
      <c r="FD17" s="1391"/>
      <c r="FE17" s="1391"/>
      <c r="FF17" s="1391"/>
      <c r="FG17" s="1391"/>
      <c r="FH17" s="1391"/>
      <c r="FI17" s="1391"/>
      <c r="FJ17" s="1391"/>
      <c r="FK17" s="1391"/>
      <c r="FL17" s="1391"/>
      <c r="FM17" s="1391"/>
      <c r="FN17" s="1391"/>
      <c r="FO17" s="1391"/>
      <c r="FP17" s="1391"/>
      <c r="FQ17" s="1391"/>
      <c r="FR17" s="1391"/>
      <c r="FS17" s="1391"/>
      <c r="FT17" s="1391"/>
      <c r="FU17" s="1391"/>
      <c r="FV17" s="1391"/>
      <c r="FW17" s="1391"/>
      <c r="FX17" s="1391"/>
      <c r="FY17" s="1391"/>
      <c r="FZ17" s="1391"/>
      <c r="GA17" s="1391"/>
      <c r="GB17" s="1391"/>
      <c r="GC17" s="1391"/>
      <c r="GD17" s="1391"/>
      <c r="GE17" s="1391"/>
      <c r="GF17" s="1391"/>
      <c r="GG17" s="1391"/>
      <c r="GH17" s="1391"/>
      <c r="GI17" s="1391"/>
      <c r="GJ17" s="1391"/>
      <c r="GK17" s="1391"/>
      <c r="GL17" s="1391"/>
      <c r="GM17" s="1391"/>
      <c r="GN17" s="1391"/>
      <c r="GO17" s="1391"/>
      <c r="GP17" s="1391"/>
      <c r="GQ17" s="1391"/>
      <c r="GR17" s="1391"/>
      <c r="GS17" s="1391"/>
      <c r="GT17" s="1391"/>
      <c r="GU17" s="1391"/>
      <c r="GV17" s="1391"/>
      <c r="GW17" s="1391"/>
      <c r="GX17" s="1391"/>
      <c r="GY17" s="1391"/>
      <c r="GZ17" s="1391"/>
      <c r="HA17" s="1391"/>
      <c r="HB17" s="1391"/>
      <c r="HC17" s="1391"/>
      <c r="HD17" s="1391"/>
      <c r="HE17" s="1391"/>
      <c r="HF17" s="1391"/>
      <c r="HG17" s="1391"/>
      <c r="HH17" s="1391"/>
      <c r="HI17" s="1391"/>
      <c r="HJ17" s="1391"/>
      <c r="HK17" s="1391"/>
      <c r="HL17" s="1391"/>
      <c r="HM17" s="1391"/>
      <c r="HN17" s="1391"/>
      <c r="HO17" s="1391"/>
      <c r="HP17" s="1391"/>
      <c r="HQ17" s="1391"/>
      <c r="HR17" s="1391"/>
      <c r="HS17" s="1391"/>
      <c r="HT17" s="1391"/>
      <c r="HU17" s="1391"/>
      <c r="HV17" s="1391"/>
      <c r="HW17" s="1391"/>
      <c r="HX17" s="1391"/>
      <c r="HY17" s="1391"/>
      <c r="HZ17" s="1391"/>
      <c r="IA17" s="1391"/>
      <c r="IB17" s="1391"/>
      <c r="IC17" s="1391"/>
      <c r="ID17" s="1391"/>
      <c r="IE17" s="1391"/>
      <c r="IF17" s="1391"/>
      <c r="IG17" s="1391"/>
      <c r="IH17" s="1391"/>
      <c r="II17" s="1391"/>
      <c r="IJ17" s="1391"/>
      <c r="IK17" s="1391"/>
      <c r="IL17" s="1391"/>
      <c r="IM17" s="1391"/>
      <c r="IN17" s="1391"/>
      <c r="IO17" s="1391"/>
      <c r="IP17" s="1391"/>
      <c r="IQ17" s="1391"/>
      <c r="IR17" s="1391"/>
      <c r="IS17" s="1391"/>
      <c r="IT17" s="1391"/>
      <c r="IU17" s="1391"/>
      <c r="IV17" s="1391"/>
    </row>
    <row r="18" spans="1:256" ht="13.5" thickBot="1" x14ac:dyDescent="0.25">
      <c r="A18" s="1132"/>
      <c r="B18" s="1079"/>
      <c r="C18" s="1396"/>
      <c r="D18" s="1132" t="s">
        <v>14</v>
      </c>
      <c r="E18" s="1131"/>
      <c r="F18" s="1133" t="s">
        <v>34</v>
      </c>
      <c r="G18" s="1338"/>
      <c r="H18" s="1389"/>
      <c r="I18" s="1162">
        <v>10.4</v>
      </c>
      <c r="J18" s="1163"/>
      <c r="K18" s="1389"/>
      <c r="L18" s="1162">
        <v>10.4</v>
      </c>
      <c r="M18" s="1163"/>
      <c r="N18" s="1389"/>
      <c r="O18" s="1162">
        <v>10.4</v>
      </c>
      <c r="P18" s="1163"/>
      <c r="Q18" s="1389"/>
      <c r="R18" s="1162">
        <v>10.4</v>
      </c>
      <c r="S18" s="1163"/>
      <c r="T18" s="1389"/>
      <c r="U18" s="1162">
        <v>10.4</v>
      </c>
      <c r="V18" s="1163"/>
      <c r="W18" s="1389"/>
      <c r="X18" s="1162">
        <v>10.4</v>
      </c>
      <c r="Y18" s="1163"/>
      <c r="Z18" s="1389"/>
      <c r="AA18" s="1162">
        <v>10.4</v>
      </c>
      <c r="AB18" s="1163"/>
      <c r="AC18" s="1389"/>
      <c r="AD18" s="1162">
        <v>10.4</v>
      </c>
      <c r="AE18" s="1163"/>
      <c r="AF18" s="1389"/>
      <c r="AG18" s="1162">
        <v>10.4</v>
      </c>
      <c r="AH18" s="1163"/>
      <c r="AI18" s="1389"/>
      <c r="AJ18" s="1162">
        <v>10.4</v>
      </c>
      <c r="AK18" s="1163"/>
      <c r="AL18" s="1389"/>
      <c r="AM18" s="1162">
        <v>10.4</v>
      </c>
      <c r="AN18" s="1163"/>
      <c r="AO18" s="1389"/>
      <c r="AP18" s="1162">
        <v>10.4</v>
      </c>
      <c r="AQ18" s="1163"/>
      <c r="AR18" s="1389"/>
      <c r="AS18" s="1162">
        <v>10.4</v>
      </c>
      <c r="AT18" s="1163"/>
      <c r="AU18" s="1389"/>
      <c r="AV18" s="1162">
        <v>10.4</v>
      </c>
      <c r="AW18" s="1163"/>
      <c r="AX18" s="1389"/>
      <c r="AY18" s="1162">
        <v>10.4</v>
      </c>
      <c r="AZ18" s="1163"/>
      <c r="BA18" s="1389"/>
      <c r="BB18" s="1162">
        <v>10.4</v>
      </c>
      <c r="BC18" s="1163"/>
      <c r="BD18" s="1389"/>
      <c r="BE18" s="1162">
        <v>10.4</v>
      </c>
      <c r="BF18" s="1163"/>
      <c r="BG18" s="1389"/>
      <c r="BH18" s="1162">
        <v>10.4</v>
      </c>
      <c r="BI18" s="1163"/>
      <c r="BJ18" s="1389"/>
      <c r="BK18" s="1162">
        <v>10.4</v>
      </c>
      <c r="BL18" s="1163"/>
      <c r="BM18" s="1389"/>
      <c r="BN18" s="1162">
        <v>10.4</v>
      </c>
      <c r="BO18" s="1163"/>
      <c r="BP18" s="1389"/>
      <c r="BQ18" s="1162">
        <v>10.4</v>
      </c>
      <c r="BR18" s="1163"/>
      <c r="BS18" s="1389"/>
      <c r="BT18" s="1162">
        <v>10.4</v>
      </c>
      <c r="BU18" s="1163"/>
      <c r="BV18" s="1389"/>
      <c r="BW18" s="1162">
        <v>10.4</v>
      </c>
      <c r="BX18" s="1163"/>
      <c r="BY18" s="1389"/>
      <c r="BZ18" s="1162">
        <v>10.4</v>
      </c>
      <c r="CA18" s="1163"/>
    </row>
    <row r="19" spans="1:256" ht="13.5" thickBot="1" x14ac:dyDescent="0.25">
      <c r="A19" s="1132"/>
      <c r="B19" s="1079"/>
      <c r="C19" s="1302"/>
      <c r="D19" s="1124" t="s">
        <v>83</v>
      </c>
      <c r="E19" s="1125"/>
      <c r="F19" s="1125"/>
      <c r="G19" s="1126"/>
      <c r="H19" s="1187"/>
      <c r="I19" s="1188"/>
      <c r="J19" s="1189"/>
      <c r="K19" s="1187"/>
      <c r="L19" s="1188"/>
      <c r="M19" s="1189"/>
      <c r="N19" s="1187"/>
      <c r="O19" s="1188"/>
      <c r="P19" s="1189"/>
      <c r="Q19" s="1187"/>
      <c r="R19" s="1188"/>
      <c r="S19" s="1189"/>
      <c r="T19" s="1187"/>
      <c r="U19" s="1188"/>
      <c r="V19" s="1189"/>
      <c r="W19" s="1187"/>
      <c r="X19" s="1188"/>
      <c r="Y19" s="1189"/>
      <c r="Z19" s="1187"/>
      <c r="AA19" s="1188"/>
      <c r="AB19" s="1189"/>
      <c r="AC19" s="1187"/>
      <c r="AD19" s="1188"/>
      <c r="AE19" s="1189"/>
      <c r="AF19" s="1187"/>
      <c r="AG19" s="1188"/>
      <c r="AH19" s="1189"/>
      <c r="AI19" s="1187"/>
      <c r="AJ19" s="1188"/>
      <c r="AK19" s="1189"/>
      <c r="AL19" s="1187"/>
      <c r="AM19" s="1188"/>
      <c r="AN19" s="1189"/>
      <c r="AO19" s="1187"/>
      <c r="AP19" s="1188"/>
      <c r="AQ19" s="1189"/>
      <c r="AR19" s="1187"/>
      <c r="AS19" s="1188"/>
      <c r="AT19" s="1189"/>
      <c r="AU19" s="1187"/>
      <c r="AV19" s="1188"/>
      <c r="AW19" s="1189"/>
      <c r="AX19" s="1187"/>
      <c r="AY19" s="1188"/>
      <c r="AZ19" s="1189"/>
      <c r="BA19" s="1187"/>
      <c r="BB19" s="1188"/>
      <c r="BC19" s="1189"/>
      <c r="BD19" s="1187"/>
      <c r="BE19" s="1188"/>
      <c r="BF19" s="1189"/>
      <c r="BG19" s="1187"/>
      <c r="BH19" s="1188"/>
      <c r="BI19" s="1189"/>
      <c r="BJ19" s="1187"/>
      <c r="BK19" s="1188"/>
      <c r="BL19" s="1189"/>
      <c r="BM19" s="1187"/>
      <c r="BN19" s="1188"/>
      <c r="BO19" s="1189"/>
      <c r="BP19" s="1187"/>
      <c r="BQ19" s="1188"/>
      <c r="BR19" s="1189"/>
      <c r="BS19" s="1187"/>
      <c r="BT19" s="1188"/>
      <c r="BU19" s="1189"/>
      <c r="BV19" s="1187"/>
      <c r="BW19" s="1188"/>
      <c r="BX19" s="1189"/>
      <c r="BY19" s="1187"/>
      <c r="BZ19" s="1188"/>
      <c r="CA19" s="1189"/>
    </row>
    <row r="20" spans="1:256" x14ac:dyDescent="0.2">
      <c r="A20" s="2426" t="s">
        <v>182</v>
      </c>
      <c r="B20" s="2427"/>
      <c r="C20" s="1398">
        <v>6.3E-2</v>
      </c>
      <c r="D20" s="2426" t="s">
        <v>13</v>
      </c>
      <c r="E20" s="2427"/>
      <c r="F20" s="1190" t="s">
        <v>82</v>
      </c>
      <c r="G20" s="1191"/>
      <c r="H20" s="1399">
        <f>SQRT(I20^2+J20^2)*1000/(1.73*0.4)</f>
        <v>3.2138728323699421</v>
      </c>
      <c r="I20" s="1263">
        <v>2.2240000000000003E-3</v>
      </c>
      <c r="J20" s="1264"/>
      <c r="K20" s="1399">
        <f>SQRT(L20^2+M20^2)*1000/(1.73*0.4)</f>
        <v>6.0809248554913289</v>
      </c>
      <c r="L20" s="1263">
        <v>4.2079999999999999E-3</v>
      </c>
      <c r="M20" s="1264"/>
      <c r="N20" s="1399">
        <f>SQRT(O20^2+P20^2)*1000/(1.73*0.4)</f>
        <v>3.0404624277456644</v>
      </c>
      <c r="O20" s="1263">
        <v>2.104E-3</v>
      </c>
      <c r="P20" s="1264"/>
      <c r="Q20" s="1399">
        <f>SQRT(R20^2+S20^2)*1000/(1.73*0.4)</f>
        <v>3.0867052023121389</v>
      </c>
      <c r="R20" s="1263">
        <v>2.1360000000000003E-3</v>
      </c>
      <c r="S20" s="1264"/>
      <c r="T20" s="1399">
        <f>SQRT(U20^2+V20^2)*1000/(1.73*0.4)</f>
        <v>5.4913294797687859</v>
      </c>
      <c r="U20" s="1263">
        <v>3.8000000000000004E-3</v>
      </c>
      <c r="V20" s="1264"/>
      <c r="W20" s="1399">
        <f>SQRT(X20^2+Y20^2)*1000/(1.73*0.4)</f>
        <v>2.8786127167630053</v>
      </c>
      <c r="X20" s="1263">
        <v>1.9919999999999998E-3</v>
      </c>
      <c r="Y20" s="1264"/>
      <c r="Z20" s="1399">
        <f>SQRT(AA20^2+AB20^2)*1000/(1.73*0.4)</f>
        <v>3.2254335260115607</v>
      </c>
      <c r="AA20" s="1263">
        <v>2.232E-3</v>
      </c>
      <c r="AB20" s="1264"/>
      <c r="AC20" s="1399">
        <f>SQRT(AD20^2+AE20^2)*1000/(1.73*0.4)</f>
        <v>6.1271676300578033</v>
      </c>
      <c r="AD20" s="1263">
        <v>4.2399999999999998E-3</v>
      </c>
      <c r="AE20" s="1264"/>
      <c r="AF20" s="1399">
        <f>SQRT(AG20^2+AH20^2)*1000/(1.73*0.4)</f>
        <v>3.1676300578034682</v>
      </c>
      <c r="AG20" s="1263">
        <v>2.1920000000000004E-3</v>
      </c>
      <c r="AH20" s="1264"/>
      <c r="AI20" s="1399">
        <f>SQRT(AJ20^2+AK20^2)*1000/(1.73*0.4)</f>
        <v>4.3930635838150289</v>
      </c>
      <c r="AJ20" s="1263">
        <v>3.0400000000000002E-3</v>
      </c>
      <c r="AK20" s="1264"/>
      <c r="AL20" s="1399">
        <f>SQRT(AM20^2+AN20^2)*1000/(1.73*0.4)</f>
        <v>5.2369942196531785</v>
      </c>
      <c r="AM20" s="1263">
        <v>3.6239999999999996E-3</v>
      </c>
      <c r="AN20" s="1264"/>
      <c r="AO20" s="1399">
        <f>SQRT(AP20^2+AQ20^2)*1000/(1.73*0.4)</f>
        <v>3.4913294797687859</v>
      </c>
      <c r="AP20" s="1263">
        <v>2.4159999999999997E-3</v>
      </c>
      <c r="AQ20" s="1264"/>
      <c r="AR20" s="1399">
        <f>SQRT(AS20^2+AT20^2)*1000/(1.73*0.4)</f>
        <v>6.0115606936416182</v>
      </c>
      <c r="AS20" s="1263">
        <v>4.1600000000000005E-3</v>
      </c>
      <c r="AT20" s="1264"/>
      <c r="AU20" s="1399">
        <f>SQRT(AV20^2+AW20^2)*1000/(1.73*0.4)</f>
        <v>4.8786127167630058</v>
      </c>
      <c r="AV20" s="1263">
        <v>3.3760000000000005E-3</v>
      </c>
      <c r="AW20" s="1264"/>
      <c r="AX20" s="1399">
        <f>SQRT(AY20^2+AZ20^2)*1000/(1.73*0.4)</f>
        <v>4.7745664739884397</v>
      </c>
      <c r="AY20" s="1263">
        <v>3.3040000000000001E-3</v>
      </c>
      <c r="AZ20" s="1264"/>
      <c r="BA20" s="1399">
        <f>SQRT(BB20^2+BC20^2)*1000/(1.73*0.4)</f>
        <v>3.2716763005780347</v>
      </c>
      <c r="BB20" s="1263">
        <v>2.2640000000000004E-3</v>
      </c>
      <c r="BC20" s="1264"/>
      <c r="BD20" s="1399">
        <f>SQRT(BE20^2+BF20^2)*1000/(1.73*0.4)</f>
        <v>6.6705202312138718</v>
      </c>
      <c r="BE20" s="1263">
        <v>4.6159999999999994E-3</v>
      </c>
      <c r="BF20" s="1264"/>
      <c r="BG20" s="1399">
        <f>SQRT(BH20^2+BI20^2)*1000/(1.73*0.4)</f>
        <v>3.3063583815028896</v>
      </c>
      <c r="BH20" s="1263">
        <v>2.2879999999999997E-3</v>
      </c>
      <c r="BI20" s="1264"/>
      <c r="BJ20" s="1399">
        <f>SQRT(BK20^2+BL20^2)*1000/(1.73*0.4)</f>
        <v>5.7572254335260107</v>
      </c>
      <c r="BK20" s="1263">
        <v>3.9839999999999997E-3</v>
      </c>
      <c r="BL20" s="1264"/>
      <c r="BM20" s="1399">
        <f>SQRT(BN20^2+BO20^2)*1000/(1.73*0.4)</f>
        <v>3.0289017341040463</v>
      </c>
      <c r="BN20" s="1263">
        <v>2.0960000000000002E-3</v>
      </c>
      <c r="BO20" s="1264"/>
      <c r="BP20" s="1399">
        <f>SQRT(BQ20^2+BR20^2)*1000/(1.73*0.4)</f>
        <v>4.4508670520231215</v>
      </c>
      <c r="BQ20" s="1263">
        <v>3.0800000000000003E-3</v>
      </c>
      <c r="BR20" s="1264"/>
      <c r="BS20" s="1399">
        <f>SQRT(BT20^2+BU20^2)*1000/(1.73*0.4)</f>
        <v>4.8323699421965314</v>
      </c>
      <c r="BT20" s="1263">
        <v>3.3439999999999998E-3</v>
      </c>
      <c r="BU20" s="1264"/>
      <c r="BV20" s="1399">
        <f>SQRT(BW20^2+BX20^2)*1000/(1.73*0.4)</f>
        <v>3.2716763005780347</v>
      </c>
      <c r="BW20" s="1263">
        <v>2.2640000000000004E-3</v>
      </c>
      <c r="BX20" s="1264"/>
      <c r="BY20" s="1399">
        <f>SQRT(BZ20^2+CA20^2)*1000/(1.73*0.4)</f>
        <v>3.1213872832369942</v>
      </c>
      <c r="BZ20" s="1263">
        <v>2.16E-3</v>
      </c>
      <c r="CA20" s="1264"/>
      <c r="CB20" s="1383">
        <f>SUM(I20,L20,O20,R20,U20,X20,AA20,AD20,AG20,AJ20,AM20,AP20,AS20,AV20,AY20,BB20,BE20,BH20,BK20,BN20,BQ20,BT20,BW20,BZ20)</f>
        <v>7.1144000000000027E-2</v>
      </c>
      <c r="CC20" s="1079"/>
      <c r="CD20" s="1079"/>
      <c r="CE20" s="1079"/>
      <c r="CF20" s="1079"/>
      <c r="CG20" s="1079"/>
      <c r="CH20" s="1079"/>
      <c r="CI20" s="1079"/>
      <c r="CJ20" s="1079"/>
      <c r="CK20" s="1079"/>
      <c r="CL20" s="1079"/>
      <c r="CM20" s="1079"/>
      <c r="CN20" s="1079"/>
      <c r="CO20" s="1079"/>
      <c r="CP20" s="1079"/>
      <c r="CQ20" s="1079"/>
      <c r="CR20" s="1079"/>
      <c r="CS20" s="1079"/>
      <c r="CT20" s="1079"/>
      <c r="CU20" s="1079"/>
      <c r="CV20" s="1079"/>
      <c r="CW20" s="1079"/>
      <c r="CX20" s="1079"/>
      <c r="CY20" s="1079"/>
      <c r="CZ20" s="1079"/>
      <c r="DA20" s="1079"/>
      <c r="DB20" s="1079"/>
      <c r="DC20" s="1079"/>
      <c r="DD20" s="1079"/>
      <c r="DE20" s="1079"/>
      <c r="DF20" s="1079"/>
      <c r="DG20" s="1079"/>
      <c r="DH20" s="1079"/>
      <c r="DI20" s="1079"/>
      <c r="DJ20" s="1079"/>
      <c r="DK20" s="1079"/>
      <c r="DL20" s="1079"/>
      <c r="DM20" s="1079"/>
      <c r="DN20" s="1079"/>
      <c r="DO20" s="1079"/>
      <c r="DP20" s="1079"/>
      <c r="DQ20" s="1079"/>
      <c r="DR20" s="1079"/>
      <c r="DS20" s="1079"/>
      <c r="DT20" s="1079"/>
      <c r="DU20" s="1079"/>
      <c r="DV20" s="1079"/>
      <c r="DW20" s="1079"/>
      <c r="DX20" s="1079"/>
      <c r="DY20" s="1079"/>
      <c r="DZ20" s="1079"/>
      <c r="EA20" s="1079"/>
      <c r="EB20" s="1079"/>
      <c r="EC20" s="1079"/>
      <c r="ED20" s="1079"/>
      <c r="EE20" s="1079"/>
      <c r="EF20" s="1079"/>
      <c r="EG20" s="1079"/>
      <c r="EH20" s="1079"/>
      <c r="EI20" s="1079"/>
      <c r="EJ20" s="1079"/>
      <c r="EK20" s="1079"/>
      <c r="EL20" s="1079"/>
      <c r="EM20" s="1079"/>
      <c r="EN20" s="1079"/>
      <c r="EO20" s="1079"/>
      <c r="EP20" s="1079"/>
      <c r="EQ20" s="1079"/>
      <c r="ER20" s="1079"/>
      <c r="ES20" s="1079"/>
      <c r="ET20" s="1079"/>
      <c r="EU20" s="1079"/>
      <c r="EV20" s="1079"/>
      <c r="EW20" s="1079"/>
      <c r="EX20" s="1079"/>
      <c r="EY20" s="1079"/>
      <c r="EZ20" s="1079"/>
      <c r="FA20" s="1079"/>
      <c r="FB20" s="1079"/>
      <c r="FC20" s="1079"/>
      <c r="FD20" s="1079"/>
      <c r="FE20" s="1079"/>
      <c r="FF20" s="1079"/>
      <c r="FG20" s="1079"/>
      <c r="FH20" s="1079"/>
      <c r="FI20" s="1079"/>
      <c r="FJ20" s="1079"/>
      <c r="FK20" s="1079"/>
      <c r="FL20" s="1079"/>
      <c r="FM20" s="1079"/>
      <c r="FN20" s="1079"/>
      <c r="FO20" s="1079"/>
      <c r="FP20" s="1079"/>
      <c r="FQ20" s="1079"/>
      <c r="FR20" s="1079"/>
      <c r="FS20" s="1079"/>
      <c r="FT20" s="1079"/>
      <c r="FU20" s="1079"/>
      <c r="FV20" s="1079"/>
      <c r="FW20" s="1079"/>
      <c r="FX20" s="1079"/>
      <c r="FY20" s="1079"/>
      <c r="FZ20" s="1079"/>
      <c r="GA20" s="1079"/>
      <c r="GB20" s="1079"/>
      <c r="GC20" s="1079"/>
      <c r="GD20" s="1079"/>
      <c r="GE20" s="1079"/>
      <c r="GF20" s="1079"/>
      <c r="GG20" s="1079"/>
      <c r="GH20" s="1079"/>
      <c r="GI20" s="1079"/>
      <c r="GJ20" s="1079"/>
      <c r="GK20" s="1079"/>
      <c r="GL20" s="1079"/>
      <c r="GM20" s="1079"/>
      <c r="GN20" s="1079"/>
      <c r="GO20" s="1079"/>
      <c r="GP20" s="1079"/>
      <c r="GQ20" s="1079"/>
      <c r="GR20" s="1079"/>
      <c r="GS20" s="1079"/>
      <c r="GT20" s="1079"/>
      <c r="GU20" s="1079"/>
      <c r="GV20" s="1079"/>
      <c r="GW20" s="1079"/>
      <c r="GX20" s="1079"/>
      <c r="GY20" s="1079"/>
      <c r="GZ20" s="1079"/>
      <c r="HA20" s="1079"/>
      <c r="HB20" s="1079"/>
      <c r="HC20" s="1079"/>
      <c r="HD20" s="1079"/>
      <c r="HE20" s="1079"/>
      <c r="HF20" s="1079"/>
      <c r="HG20" s="1079"/>
      <c r="HH20" s="1079"/>
      <c r="HI20" s="1079"/>
      <c r="HJ20" s="1079"/>
      <c r="HK20" s="1079"/>
      <c r="HL20" s="1079"/>
      <c r="HM20" s="1079"/>
      <c r="HN20" s="1079"/>
      <c r="HO20" s="1079"/>
      <c r="HP20" s="1079"/>
      <c r="HQ20" s="1079"/>
      <c r="HR20" s="1079"/>
      <c r="HS20" s="1079"/>
      <c r="HT20" s="1079"/>
      <c r="HU20" s="1079"/>
      <c r="HV20" s="1079"/>
      <c r="HW20" s="1079"/>
      <c r="HX20" s="1079"/>
      <c r="HY20" s="1079"/>
      <c r="HZ20" s="1079"/>
      <c r="IA20" s="1079"/>
      <c r="IB20" s="1079"/>
      <c r="IC20" s="1079"/>
      <c r="ID20" s="1079"/>
      <c r="IE20" s="1079"/>
      <c r="IF20" s="1079"/>
      <c r="IG20" s="1079"/>
      <c r="IH20" s="1079"/>
      <c r="II20" s="1079"/>
      <c r="IJ20" s="1079"/>
      <c r="IK20" s="1079"/>
      <c r="IL20" s="1079"/>
      <c r="IM20" s="1079"/>
      <c r="IN20" s="1079"/>
      <c r="IO20" s="1079"/>
      <c r="IP20" s="1079"/>
      <c r="IQ20" s="1079"/>
      <c r="IR20" s="1079"/>
      <c r="IS20" s="1079"/>
      <c r="IT20" s="1079"/>
      <c r="IU20" s="1079"/>
      <c r="IV20" s="1079"/>
    </row>
    <row r="21" spans="1:256" ht="13.5" thickBot="1" x14ac:dyDescent="0.25">
      <c r="A21" s="2428" t="s">
        <v>183</v>
      </c>
      <c r="B21" s="2429"/>
      <c r="C21" s="1183">
        <v>6.3E-2</v>
      </c>
      <c r="D21" s="2428" t="s">
        <v>13</v>
      </c>
      <c r="E21" s="2429"/>
      <c r="F21" s="1195" t="s">
        <v>82</v>
      </c>
      <c r="G21" s="1207"/>
      <c r="H21" s="1400">
        <f>SQRT(I21^2+J21^2)*1000/(1.73*0.4)</f>
        <v>5.294797687861271</v>
      </c>
      <c r="I21" s="1275">
        <v>3.6639999999999997E-3</v>
      </c>
      <c r="J21" s="1276"/>
      <c r="K21" s="1400">
        <f>SQRT(L21^2+M21^2)*1000/(1.73*0.4)</f>
        <v>9.8034682080924842</v>
      </c>
      <c r="L21" s="1275">
        <v>6.7840000000000001E-3</v>
      </c>
      <c r="M21" s="1276"/>
      <c r="N21" s="1400">
        <f>SQRT(O21^2+P21^2)*1000/(1.73*0.4)</f>
        <v>5.2716763005780338</v>
      </c>
      <c r="O21" s="1275">
        <v>3.6479999999999998E-3</v>
      </c>
      <c r="P21" s="1276"/>
      <c r="Q21" s="1400">
        <f>SQRT(R21^2+S21^2)*1000/(1.73*0.4)</f>
        <v>5.4104046242774562</v>
      </c>
      <c r="R21" s="1275">
        <v>3.7439999999999999E-3</v>
      </c>
      <c r="S21" s="1276"/>
      <c r="T21" s="1400">
        <f>SQRT(U21^2+V21^2)*1000/(1.73*0.4)</f>
        <v>10.196531791907514</v>
      </c>
      <c r="U21" s="1275">
        <v>7.0559999999999998E-3</v>
      </c>
      <c r="V21" s="1276"/>
      <c r="W21" s="1400">
        <f>SQRT(X21^2+Y21^2)*1000/(1.73*0.4)</f>
        <v>4.8554913294797686</v>
      </c>
      <c r="X21" s="1275">
        <v>3.3600000000000001E-3</v>
      </c>
      <c r="Y21" s="1276"/>
      <c r="Z21" s="1400">
        <f>SQRT(AA21^2+AB21^2)*1000/(1.73*0.4)</f>
        <v>5.2254335260115594</v>
      </c>
      <c r="AA21" s="1275">
        <v>3.6159999999999999E-3</v>
      </c>
      <c r="AB21" s="1276"/>
      <c r="AC21" s="1400">
        <f>SQRT(AD21^2+AE21^2)*1000/(1.73*0.4)</f>
        <v>5.5491329479768776</v>
      </c>
      <c r="AD21" s="1275">
        <v>3.8399999999999997E-3</v>
      </c>
      <c r="AE21" s="1276"/>
      <c r="AF21" s="1400">
        <f>SQRT(AG21^2+AH21^2)*1000/(1.73*0.4)</f>
        <v>9.3410404624277437</v>
      </c>
      <c r="AG21" s="1275">
        <v>6.4639999999999993E-3</v>
      </c>
      <c r="AH21" s="1276"/>
      <c r="AI21" s="1400">
        <f>SQRT(AJ21^2+AK21^2)*1000/(1.73*0.4)</f>
        <v>6.9595375722543347</v>
      </c>
      <c r="AJ21" s="1275">
        <v>4.816E-3</v>
      </c>
      <c r="AK21" s="1276"/>
      <c r="AL21" s="1400">
        <f>SQRT(AM21^2+AN21^2)*1000/(1.73*0.4)</f>
        <v>5.7572254335260107</v>
      </c>
      <c r="AM21" s="1275">
        <v>3.9839999999999997E-3</v>
      </c>
      <c r="AN21" s="1276"/>
      <c r="AO21" s="1400">
        <f>SQRT(AP21^2+AQ21^2)*1000/(1.73*0.4)</f>
        <v>11.075144508670519</v>
      </c>
      <c r="AP21" s="1275">
        <v>7.6639999999999998E-3</v>
      </c>
      <c r="AQ21" s="1276"/>
      <c r="AR21" s="1400">
        <f>SQRT(AS21^2+AT21^2)*1000/(1.73*0.4)</f>
        <v>5.5722543352601148</v>
      </c>
      <c r="AS21" s="1275">
        <v>3.8560000000000001E-3</v>
      </c>
      <c r="AT21" s="1276"/>
      <c r="AU21" s="1400">
        <f>SQRT(AV21^2+AW21^2)*1000/(1.73*0.4)</f>
        <v>5.7572254335260107</v>
      </c>
      <c r="AV21" s="1275">
        <v>3.9839999999999997E-3</v>
      </c>
      <c r="AW21" s="1276"/>
      <c r="AX21" s="1400">
        <f>SQRT(AY21^2+AZ21^2)*1000/(1.73*0.4)</f>
        <v>5.4104046242774562</v>
      </c>
      <c r="AY21" s="1275">
        <v>3.7439999999999999E-3</v>
      </c>
      <c r="AZ21" s="1276"/>
      <c r="BA21" s="1400">
        <f>SQRT(BB21^2+BC21^2)*1000/(1.73*0.4)</f>
        <v>10.843930635838149</v>
      </c>
      <c r="BB21" s="1275">
        <v>7.5039999999999994E-3</v>
      </c>
      <c r="BC21" s="1276"/>
      <c r="BD21" s="1400">
        <f>SQRT(BE21^2+BF21^2)*1000/(1.73*0.4)</f>
        <v>5.6416184971098255</v>
      </c>
      <c r="BE21" s="1275">
        <v>3.9039999999999999E-3</v>
      </c>
      <c r="BF21" s="1276"/>
      <c r="BG21" s="1400">
        <f>SQRT(BH21^2+BI21^2)*1000/(1.73*0.4)</f>
        <v>5.2716763005780347</v>
      </c>
      <c r="BH21" s="1275">
        <v>3.6480000000000002E-3</v>
      </c>
      <c r="BI21" s="1276"/>
      <c r="BJ21" s="1400">
        <f>SQRT(BK21^2+BL21^2)*1000/(1.73*0.4)</f>
        <v>9.8034682080924842</v>
      </c>
      <c r="BK21" s="1275">
        <v>6.7840000000000001E-3</v>
      </c>
      <c r="BL21" s="1276"/>
      <c r="BM21" s="1400">
        <f>SQRT(BN21^2+BO21^2)*1000/(1.73*0.4)</f>
        <v>5.0635838150289016</v>
      </c>
      <c r="BN21" s="1275">
        <v>3.5040000000000002E-3</v>
      </c>
      <c r="BO21" s="1276"/>
      <c r="BP21" s="1400">
        <f>SQRT(BQ21^2+BR21^2)*1000/(1.73*0.4)</f>
        <v>5.2716763005780347</v>
      </c>
      <c r="BQ21" s="1275">
        <v>3.6480000000000002E-3</v>
      </c>
      <c r="BR21" s="1276"/>
      <c r="BS21" s="1400">
        <f>SQRT(BT21^2+BU21^2)*1000/(1.73*0.4)</f>
        <v>5.2716763005780338</v>
      </c>
      <c r="BT21" s="1275">
        <v>3.6479999999999998E-3</v>
      </c>
      <c r="BU21" s="1276"/>
      <c r="BV21" s="1400">
        <f>SQRT(BW21^2+BX21^2)*1000/(1.73*0.4)</f>
        <v>7.5375722543352595</v>
      </c>
      <c r="BW21" s="1275">
        <v>5.2160000000000002E-3</v>
      </c>
      <c r="BX21" s="1276"/>
      <c r="BY21" s="1400">
        <f>SQRT(BZ21^2+CA21^2)*1000/(1.73*0.4)</f>
        <v>8.6242774566473983</v>
      </c>
      <c r="BZ21" s="1275">
        <v>5.9680000000000002E-3</v>
      </c>
      <c r="CA21" s="1276"/>
      <c r="CB21" s="1383">
        <f>SUM(I21,L21,O21,R21,U21,X21,AA21,AD21,AG21,AJ21,AM21,AP21,AS21,AV21,AY21,BB21,BE21,BH21,BK21,BN21,BQ21,BT21,BW21,BZ21)</f>
        <v>0.11404799999999998</v>
      </c>
      <c r="CC21" s="1079"/>
      <c r="CD21" s="1079"/>
      <c r="CE21" s="1079"/>
      <c r="CF21" s="1079"/>
      <c r="CG21" s="1079"/>
      <c r="CH21" s="1079"/>
      <c r="CI21" s="1079"/>
      <c r="CJ21" s="1079"/>
      <c r="CK21" s="1079"/>
      <c r="CL21" s="1079"/>
      <c r="CM21" s="1079"/>
      <c r="CN21" s="1079"/>
      <c r="CO21" s="1079"/>
      <c r="CP21" s="1079"/>
      <c r="CQ21" s="1079"/>
      <c r="CR21" s="1079"/>
      <c r="CS21" s="1079"/>
      <c r="CT21" s="1079"/>
      <c r="CU21" s="1079"/>
      <c r="CV21" s="1079"/>
      <c r="CW21" s="1079"/>
      <c r="CX21" s="1079"/>
      <c r="CY21" s="1079"/>
      <c r="CZ21" s="1079"/>
      <c r="DA21" s="1079"/>
      <c r="DB21" s="1079"/>
      <c r="DC21" s="1079"/>
      <c r="DD21" s="1079"/>
      <c r="DE21" s="1079"/>
      <c r="DF21" s="1079"/>
      <c r="DG21" s="1079"/>
      <c r="DH21" s="1079"/>
      <c r="DI21" s="1079"/>
      <c r="DJ21" s="1079"/>
      <c r="DK21" s="1079"/>
      <c r="DL21" s="1079"/>
      <c r="DM21" s="1079"/>
      <c r="DN21" s="1079"/>
      <c r="DO21" s="1079"/>
      <c r="DP21" s="1079"/>
      <c r="DQ21" s="1079"/>
      <c r="DR21" s="1079"/>
      <c r="DS21" s="1079"/>
      <c r="DT21" s="1079"/>
      <c r="DU21" s="1079"/>
      <c r="DV21" s="1079"/>
      <c r="DW21" s="1079"/>
      <c r="DX21" s="1079"/>
      <c r="DY21" s="1079"/>
      <c r="DZ21" s="1079"/>
      <c r="EA21" s="1079"/>
      <c r="EB21" s="1079"/>
      <c r="EC21" s="1079"/>
      <c r="ED21" s="1079"/>
      <c r="EE21" s="1079"/>
      <c r="EF21" s="1079"/>
      <c r="EG21" s="1079"/>
      <c r="EH21" s="1079"/>
      <c r="EI21" s="1079"/>
      <c r="EJ21" s="1079"/>
      <c r="EK21" s="1079"/>
      <c r="EL21" s="1079"/>
      <c r="EM21" s="1079"/>
      <c r="EN21" s="1079"/>
      <c r="EO21" s="1079"/>
      <c r="EP21" s="1079"/>
      <c r="EQ21" s="1079"/>
      <c r="ER21" s="1079"/>
      <c r="ES21" s="1079"/>
      <c r="ET21" s="1079"/>
      <c r="EU21" s="1079"/>
      <c r="EV21" s="1079"/>
      <c r="EW21" s="1079"/>
      <c r="EX21" s="1079"/>
      <c r="EY21" s="1079"/>
      <c r="EZ21" s="1079"/>
      <c r="FA21" s="1079"/>
      <c r="FB21" s="1079"/>
      <c r="FC21" s="1079"/>
      <c r="FD21" s="1079"/>
      <c r="FE21" s="1079"/>
      <c r="FF21" s="1079"/>
      <c r="FG21" s="1079"/>
      <c r="FH21" s="1079"/>
      <c r="FI21" s="1079"/>
      <c r="FJ21" s="1079"/>
      <c r="FK21" s="1079"/>
      <c r="FL21" s="1079"/>
      <c r="FM21" s="1079"/>
      <c r="FN21" s="1079"/>
      <c r="FO21" s="1079"/>
      <c r="FP21" s="1079"/>
      <c r="FQ21" s="1079"/>
      <c r="FR21" s="1079"/>
      <c r="FS21" s="1079"/>
      <c r="FT21" s="1079"/>
      <c r="FU21" s="1079"/>
      <c r="FV21" s="1079"/>
      <c r="FW21" s="1079"/>
      <c r="FX21" s="1079"/>
      <c r="FY21" s="1079"/>
      <c r="FZ21" s="1079"/>
      <c r="GA21" s="1079"/>
      <c r="GB21" s="1079"/>
      <c r="GC21" s="1079"/>
      <c r="GD21" s="1079"/>
      <c r="GE21" s="1079"/>
      <c r="GF21" s="1079"/>
      <c r="GG21" s="1079"/>
      <c r="GH21" s="1079"/>
      <c r="GI21" s="1079"/>
      <c r="GJ21" s="1079"/>
      <c r="GK21" s="1079"/>
      <c r="GL21" s="1079"/>
      <c r="GM21" s="1079"/>
      <c r="GN21" s="1079"/>
      <c r="GO21" s="1079"/>
      <c r="GP21" s="1079"/>
      <c r="GQ21" s="1079"/>
      <c r="GR21" s="1079"/>
      <c r="GS21" s="1079"/>
      <c r="GT21" s="1079"/>
      <c r="GU21" s="1079"/>
      <c r="GV21" s="1079"/>
      <c r="GW21" s="1079"/>
      <c r="GX21" s="1079"/>
      <c r="GY21" s="1079"/>
      <c r="GZ21" s="1079"/>
      <c r="HA21" s="1079"/>
      <c r="HB21" s="1079"/>
      <c r="HC21" s="1079"/>
      <c r="HD21" s="1079"/>
      <c r="HE21" s="1079"/>
      <c r="HF21" s="1079"/>
      <c r="HG21" s="1079"/>
      <c r="HH21" s="1079"/>
      <c r="HI21" s="1079"/>
      <c r="HJ21" s="1079"/>
      <c r="HK21" s="1079"/>
      <c r="HL21" s="1079"/>
      <c r="HM21" s="1079"/>
      <c r="HN21" s="1079"/>
      <c r="HO21" s="1079"/>
      <c r="HP21" s="1079"/>
      <c r="HQ21" s="1079"/>
      <c r="HR21" s="1079"/>
      <c r="HS21" s="1079"/>
      <c r="HT21" s="1079"/>
      <c r="HU21" s="1079"/>
      <c r="HV21" s="1079"/>
      <c r="HW21" s="1079"/>
      <c r="HX21" s="1079"/>
      <c r="HY21" s="1079"/>
      <c r="HZ21" s="1079"/>
      <c r="IA21" s="1079"/>
      <c r="IB21" s="1079"/>
      <c r="IC21" s="1079"/>
      <c r="ID21" s="1079"/>
      <c r="IE21" s="1079"/>
      <c r="IF21" s="1079"/>
      <c r="IG21" s="1079"/>
      <c r="IH21" s="1079"/>
      <c r="II21" s="1079"/>
      <c r="IJ21" s="1079"/>
      <c r="IK21" s="1079"/>
      <c r="IL21" s="1079"/>
      <c r="IM21" s="1079"/>
      <c r="IN21" s="1079"/>
      <c r="IO21" s="1079"/>
      <c r="IP21" s="1079"/>
      <c r="IQ21" s="1079"/>
      <c r="IR21" s="1079"/>
      <c r="IS21" s="1079"/>
      <c r="IT21" s="1079"/>
      <c r="IU21" s="1079"/>
      <c r="IV21" s="1079"/>
    </row>
    <row r="22" spans="1:256" x14ac:dyDescent="0.2">
      <c r="A22" s="1124"/>
      <c r="B22" s="1125"/>
      <c r="C22" s="1125"/>
      <c r="D22" s="1124"/>
      <c r="E22" s="1125"/>
      <c r="F22" s="1190" t="s">
        <v>33</v>
      </c>
      <c r="G22" s="1191"/>
      <c r="H22" s="1401">
        <f t="shared" ref="H22:BS23" si="0">H8+H14</f>
        <v>35.716272905067555</v>
      </c>
      <c r="I22" s="1402">
        <f t="shared" si="0"/>
        <v>7.2138</v>
      </c>
      <c r="J22" s="1403">
        <f t="shared" si="0"/>
        <v>0.34979999999999994</v>
      </c>
      <c r="K22" s="1401">
        <f t="shared" si="0"/>
        <v>33.883296147502989</v>
      </c>
      <c r="L22" s="1402">
        <f t="shared" si="0"/>
        <v>6.8309999999999995</v>
      </c>
      <c r="M22" s="1403">
        <f t="shared" si="0"/>
        <v>0.60060000000000002</v>
      </c>
      <c r="N22" s="1401">
        <f t="shared" si="0"/>
        <v>33.3804657416635</v>
      </c>
      <c r="O22" s="1402">
        <f t="shared" si="0"/>
        <v>6.7254000000000005</v>
      </c>
      <c r="P22" s="1403">
        <f t="shared" si="0"/>
        <v>0.64349999999999996</v>
      </c>
      <c r="Q22" s="1401">
        <f t="shared" si="0"/>
        <v>32.880638466009344</v>
      </c>
      <c r="R22" s="1402">
        <f t="shared" si="0"/>
        <v>6.6197999999999997</v>
      </c>
      <c r="S22" s="1403">
        <f t="shared" si="0"/>
        <v>0.6863999999999999</v>
      </c>
      <c r="T22" s="1401">
        <f t="shared" si="0"/>
        <v>32.67310501586568</v>
      </c>
      <c r="U22" s="1402">
        <f t="shared" si="0"/>
        <v>6.5769000000000002</v>
      </c>
      <c r="V22" s="1403">
        <f t="shared" si="0"/>
        <v>0.69299999999999995</v>
      </c>
      <c r="W22" s="1401">
        <f t="shared" si="0"/>
        <v>33.506561625560664</v>
      </c>
      <c r="X22" s="1402">
        <f t="shared" si="0"/>
        <v>6.7484999999999999</v>
      </c>
      <c r="Y22" s="1403">
        <f t="shared" si="0"/>
        <v>0.67320000000000002</v>
      </c>
      <c r="Z22" s="1401">
        <f t="shared" si="0"/>
        <v>36.216559168365485</v>
      </c>
      <c r="AA22" s="1402">
        <f t="shared" si="0"/>
        <v>7.3094999999999999</v>
      </c>
      <c r="AB22" s="1403">
        <f t="shared" si="0"/>
        <v>0.53129999999999999</v>
      </c>
      <c r="AC22" s="1401">
        <f t="shared" si="0"/>
        <v>39.108126476660267</v>
      </c>
      <c r="AD22" s="1402">
        <f t="shared" si="0"/>
        <v>7.9002000000000008</v>
      </c>
      <c r="AE22" s="1403">
        <f t="shared" si="0"/>
        <v>0.36630000000000001</v>
      </c>
      <c r="AF22" s="1401">
        <f t="shared" si="0"/>
        <v>41.402992039458468</v>
      </c>
      <c r="AG22" s="1402">
        <f t="shared" si="0"/>
        <v>8.3753999999999991</v>
      </c>
      <c r="AH22" s="1403">
        <f t="shared" si="0"/>
        <v>-0.11879999999999998</v>
      </c>
      <c r="AI22" s="1401">
        <f t="shared" si="0"/>
        <v>41.2356095150637</v>
      </c>
      <c r="AJ22" s="1402">
        <f t="shared" si="0"/>
        <v>8.3391000000000002</v>
      </c>
      <c r="AK22" s="1403">
        <f t="shared" si="0"/>
        <v>-0.32670000000000005</v>
      </c>
      <c r="AL22" s="1401">
        <f t="shared" si="0"/>
        <v>41.151831222777865</v>
      </c>
      <c r="AM22" s="1402">
        <f t="shared" si="0"/>
        <v>8.3160000000000007</v>
      </c>
      <c r="AN22" s="1403">
        <f t="shared" si="0"/>
        <v>-0.29039999999999999</v>
      </c>
      <c r="AO22" s="1401">
        <f t="shared" si="0"/>
        <v>41.064244143818918</v>
      </c>
      <c r="AP22" s="1402">
        <f t="shared" si="0"/>
        <v>8.2994999999999983</v>
      </c>
      <c r="AQ22" s="1403">
        <f t="shared" si="0"/>
        <v>-4.9500000000000016E-2</v>
      </c>
      <c r="AR22" s="1401">
        <f t="shared" si="0"/>
        <v>40.97239450096027</v>
      </c>
      <c r="AS22" s="1402">
        <f t="shared" si="0"/>
        <v>8.2797000000000001</v>
      </c>
      <c r="AT22" s="1403">
        <f t="shared" si="0"/>
        <v>0.11220000000000002</v>
      </c>
      <c r="AU22" s="1401">
        <f t="shared" si="0"/>
        <v>40.752766060588513</v>
      </c>
      <c r="AV22" s="1402">
        <f t="shared" si="0"/>
        <v>8.2334999999999994</v>
      </c>
      <c r="AW22" s="1403">
        <f t="shared" si="0"/>
        <v>-4.6199999999999991E-2</v>
      </c>
      <c r="AX22" s="1401">
        <f t="shared" si="0"/>
        <v>40.629535940103253</v>
      </c>
      <c r="AY22" s="1402">
        <f t="shared" si="0"/>
        <v>8.2169999999999987</v>
      </c>
      <c r="AZ22" s="1403">
        <f t="shared" si="0"/>
        <v>-0.26400000000000001</v>
      </c>
      <c r="BA22" s="1401">
        <f t="shared" si="0"/>
        <v>42.118171886129453</v>
      </c>
      <c r="BB22" s="1402">
        <f t="shared" si="0"/>
        <v>8.5139999999999993</v>
      </c>
      <c r="BC22" s="1403">
        <f t="shared" si="0"/>
        <v>-8.9099999999999985E-2</v>
      </c>
      <c r="BD22" s="1401">
        <f t="shared" si="0"/>
        <v>43.63221174605966</v>
      </c>
      <c r="BE22" s="1402">
        <f t="shared" si="0"/>
        <v>8.8241999999999994</v>
      </c>
      <c r="BF22" s="1403">
        <f t="shared" si="0"/>
        <v>3.3000000000000251E-3</v>
      </c>
      <c r="BG22" s="1401">
        <f t="shared" si="0"/>
        <v>43.69452655266813</v>
      </c>
      <c r="BH22" s="1402">
        <f t="shared" si="0"/>
        <v>8.8308</v>
      </c>
      <c r="BI22" s="1403">
        <f t="shared" si="0"/>
        <v>-3.3000000000000251E-3</v>
      </c>
      <c r="BJ22" s="1401">
        <f t="shared" si="0"/>
        <v>43.480166623689286</v>
      </c>
      <c r="BK22" s="1402">
        <f t="shared" si="0"/>
        <v>8.7845999999999993</v>
      </c>
      <c r="BL22" s="1403">
        <f t="shared" si="0"/>
        <v>7.5899999999999995E-2</v>
      </c>
      <c r="BM22" s="1401">
        <f t="shared" si="0"/>
        <v>43.784803678733809</v>
      </c>
      <c r="BN22" s="1402">
        <f t="shared" si="0"/>
        <v>8.8440000000000012</v>
      </c>
      <c r="BO22" s="1403">
        <f t="shared" si="0"/>
        <v>6.2699999999999978E-2</v>
      </c>
      <c r="BP22" s="1401">
        <f t="shared" si="0"/>
        <v>43.31004540348458</v>
      </c>
      <c r="BQ22" s="1402">
        <f t="shared" si="0"/>
        <v>8.7483000000000004</v>
      </c>
      <c r="BR22" s="1403">
        <f t="shared" si="0"/>
        <v>6.5999999999999948E-2</v>
      </c>
      <c r="BS22" s="1401">
        <f t="shared" si="0"/>
        <v>42.209067391272228</v>
      </c>
      <c r="BT22" s="1402">
        <f t="shared" ref="BT22:CA23" si="1">BT8+BT14</f>
        <v>8.5272000000000006</v>
      </c>
      <c r="BU22" s="1403">
        <f t="shared" si="1"/>
        <v>0.10230000000000003</v>
      </c>
      <c r="BV22" s="1401">
        <f t="shared" si="1"/>
        <v>40.572996938614196</v>
      </c>
      <c r="BW22" s="1402">
        <f t="shared" si="1"/>
        <v>8.1971999999999987</v>
      </c>
      <c r="BX22" s="1403">
        <f t="shared" si="1"/>
        <v>0.13860000000000003</v>
      </c>
      <c r="BY22" s="1401">
        <f t="shared" si="1"/>
        <v>38.463824110900916</v>
      </c>
      <c r="BZ22" s="1402">
        <f t="shared" si="1"/>
        <v>7.7715000000000005</v>
      </c>
      <c r="CA22" s="1403">
        <f t="shared" si="1"/>
        <v>0.23759999999999995</v>
      </c>
      <c r="CB22" s="1383"/>
      <c r="CC22" s="1079"/>
    </row>
    <row r="23" spans="1:256" ht="13.5" thickBot="1" x14ac:dyDescent="0.25">
      <c r="A23" s="1195"/>
      <c r="B23" s="1196" t="s">
        <v>35</v>
      </c>
      <c r="C23" s="1196"/>
      <c r="D23" s="1195"/>
      <c r="E23" s="1196"/>
      <c r="F23" s="1197" t="s">
        <v>34</v>
      </c>
      <c r="G23" s="1198"/>
      <c r="H23" s="1404">
        <f t="shared" si="0"/>
        <v>405.01169353750367</v>
      </c>
      <c r="I23" s="1405">
        <f t="shared" si="0"/>
        <v>7.2480000000000002</v>
      </c>
      <c r="J23" s="1406">
        <f t="shared" si="0"/>
        <v>-0.75</v>
      </c>
      <c r="K23" s="1404">
        <f t="shared" si="0"/>
        <v>383.18474434352424</v>
      </c>
      <c r="L23" s="1405">
        <f t="shared" si="0"/>
        <v>6.8460000000000001</v>
      </c>
      <c r="M23" s="1406">
        <f t="shared" si="0"/>
        <v>-0.81299999999999994</v>
      </c>
      <c r="N23" s="1404">
        <f t="shared" si="0"/>
        <v>377.71464191123601</v>
      </c>
      <c r="O23" s="1405">
        <f t="shared" si="0"/>
        <v>6.7469999999999999</v>
      </c>
      <c r="P23" s="1406">
        <f t="shared" si="0"/>
        <v>-0.81299999999999994</v>
      </c>
      <c r="Q23" s="1404">
        <f t="shared" si="0"/>
        <v>372.16807931693427</v>
      </c>
      <c r="R23" s="1405">
        <f t="shared" si="0"/>
        <v>6.6449999999999996</v>
      </c>
      <c r="S23" s="1406">
        <f t="shared" si="0"/>
        <v>-0.82499999999999996</v>
      </c>
      <c r="T23" s="1404">
        <f t="shared" si="0"/>
        <v>369.16858853440363</v>
      </c>
      <c r="U23" s="1405">
        <f t="shared" si="0"/>
        <v>6.5910000000000002</v>
      </c>
      <c r="V23" s="1406">
        <f t="shared" si="0"/>
        <v>-0.82200000000000006</v>
      </c>
      <c r="W23" s="1404">
        <f t="shared" si="0"/>
        <v>379.1465870229971</v>
      </c>
      <c r="X23" s="1405">
        <f t="shared" si="0"/>
        <v>6.774</v>
      </c>
      <c r="Y23" s="1406">
        <f t="shared" si="0"/>
        <v>-0.80400000000000005</v>
      </c>
      <c r="Z23" s="1404">
        <f t="shared" si="0"/>
        <v>410.43511290149763</v>
      </c>
      <c r="AA23" s="1405">
        <f t="shared" si="0"/>
        <v>7.3409999999999993</v>
      </c>
      <c r="AB23" s="1406">
        <f t="shared" si="0"/>
        <v>-0.79800000000000004</v>
      </c>
      <c r="AC23" s="1404">
        <f t="shared" si="0"/>
        <v>443.12729905259471</v>
      </c>
      <c r="AD23" s="1405">
        <f t="shared" si="0"/>
        <v>7.9289999999999994</v>
      </c>
      <c r="AE23" s="1406">
        <f t="shared" si="0"/>
        <v>-0.82800000000000007</v>
      </c>
      <c r="AF23" s="1404">
        <f t="shared" si="0"/>
        <v>469.22657338128874</v>
      </c>
      <c r="AG23" s="1405">
        <f t="shared" si="0"/>
        <v>8.4150000000000009</v>
      </c>
      <c r="AH23" s="1406">
        <f t="shared" si="0"/>
        <v>-0.67799999999999994</v>
      </c>
      <c r="AI23" s="1404">
        <f t="shared" si="0"/>
        <v>467.0218254543372</v>
      </c>
      <c r="AJ23" s="1405">
        <f t="shared" si="0"/>
        <v>8.3789999999999996</v>
      </c>
      <c r="AK23" s="1406">
        <f t="shared" si="0"/>
        <v>-0.63</v>
      </c>
      <c r="AL23" s="1404">
        <f t="shared" si="0"/>
        <v>465.16194159149791</v>
      </c>
      <c r="AM23" s="1405">
        <f t="shared" si="0"/>
        <v>8.3460000000000001</v>
      </c>
      <c r="AN23" s="1406">
        <f t="shared" si="0"/>
        <v>-0.621</v>
      </c>
      <c r="AO23" s="1404">
        <f t="shared" si="0"/>
        <v>465.00216379355834</v>
      </c>
      <c r="AP23" s="1405">
        <f t="shared" si="0"/>
        <v>8.34</v>
      </c>
      <c r="AQ23" s="1406">
        <f t="shared" si="0"/>
        <v>-0.66</v>
      </c>
      <c r="AR23" s="1404">
        <f t="shared" si="0"/>
        <v>463.62154415802399</v>
      </c>
      <c r="AS23" s="1405">
        <f t="shared" si="0"/>
        <v>8.31</v>
      </c>
      <c r="AT23" s="1406">
        <f t="shared" si="0"/>
        <v>-0.72</v>
      </c>
      <c r="AU23" s="1404">
        <f t="shared" si="0"/>
        <v>461.24796302030018</v>
      </c>
      <c r="AV23" s="1405">
        <f t="shared" si="0"/>
        <v>8.2710000000000008</v>
      </c>
      <c r="AW23" s="1406">
        <f t="shared" si="0"/>
        <v>-0.67199999999999993</v>
      </c>
      <c r="AX23" s="1404">
        <f t="shared" si="0"/>
        <v>460.26912977718075</v>
      </c>
      <c r="AY23" s="1405">
        <f t="shared" si="0"/>
        <v>8.2560000000000002</v>
      </c>
      <c r="AZ23" s="1406">
        <f t="shared" si="0"/>
        <v>-0.64500000000000002</v>
      </c>
      <c r="BA23" s="1404">
        <f t="shared" si="0"/>
        <v>476.73491811291194</v>
      </c>
      <c r="BB23" s="1405">
        <f t="shared" si="0"/>
        <v>8.5500000000000007</v>
      </c>
      <c r="BC23" s="1406">
        <f t="shared" si="0"/>
        <v>-0.68399999999999994</v>
      </c>
      <c r="BD23" s="1404">
        <f t="shared" si="0"/>
        <v>494.0354162653307</v>
      </c>
      <c r="BE23" s="1405">
        <f t="shared" si="0"/>
        <v>8.8620000000000001</v>
      </c>
      <c r="BF23" s="1406">
        <f t="shared" si="0"/>
        <v>-0.68700000000000006</v>
      </c>
      <c r="BG23" s="1404">
        <f t="shared" si="0"/>
        <v>494.85039324398122</v>
      </c>
      <c r="BH23" s="1405">
        <f t="shared" si="0"/>
        <v>8.8769999999999989</v>
      </c>
      <c r="BI23" s="1406">
        <f t="shared" si="0"/>
        <v>-0.68100000000000005</v>
      </c>
      <c r="BJ23" s="1404">
        <f t="shared" si="0"/>
        <v>492.19821166588804</v>
      </c>
      <c r="BK23" s="1405">
        <f t="shared" si="0"/>
        <v>8.8230000000000004</v>
      </c>
      <c r="BL23" s="1406">
        <f t="shared" si="0"/>
        <v>-0.747</v>
      </c>
      <c r="BM23" s="1404">
        <f t="shared" si="0"/>
        <v>495.96593352416392</v>
      </c>
      <c r="BN23" s="1405">
        <f t="shared" si="0"/>
        <v>8.8889999999999993</v>
      </c>
      <c r="BO23" s="1406">
        <f t="shared" si="0"/>
        <v>-0.76800000000000002</v>
      </c>
      <c r="BP23" s="1404">
        <f t="shared" si="0"/>
        <v>490.59786558314437</v>
      </c>
      <c r="BQ23" s="1405">
        <f t="shared" si="0"/>
        <v>8.7929999999999993</v>
      </c>
      <c r="BR23" s="1406">
        <f t="shared" si="0"/>
        <v>-0.75900000000000001</v>
      </c>
      <c r="BS23" s="1404">
        <f t="shared" si="0"/>
        <v>477.71493091303267</v>
      </c>
      <c r="BT23" s="1405">
        <f t="shared" si="1"/>
        <v>8.5620000000000012</v>
      </c>
      <c r="BU23" s="1406">
        <f t="shared" si="1"/>
        <v>-0.74399999999999999</v>
      </c>
      <c r="BV23" s="1404">
        <f t="shared" si="1"/>
        <v>459.53503235629239</v>
      </c>
      <c r="BW23" s="1405">
        <f t="shared" si="1"/>
        <v>8.2349999999999994</v>
      </c>
      <c r="BX23" s="1406">
        <f t="shared" si="1"/>
        <v>-0.72599999999999998</v>
      </c>
      <c r="BY23" s="1404">
        <f t="shared" si="1"/>
        <v>435.80233992216756</v>
      </c>
      <c r="BZ23" s="1405">
        <f t="shared" si="1"/>
        <v>7.8059999999999992</v>
      </c>
      <c r="CA23" s="1406">
        <f t="shared" si="1"/>
        <v>-0.73199999999999998</v>
      </c>
      <c r="CB23" s="1383"/>
      <c r="CC23" s="1079"/>
    </row>
    <row r="24" spans="1:256" x14ac:dyDescent="0.2">
      <c r="A24" s="1202"/>
      <c r="B24" s="1125"/>
      <c r="C24" s="1203"/>
      <c r="D24" s="1202"/>
      <c r="E24" s="2413"/>
      <c r="F24" s="2413"/>
      <c r="G24" s="1126"/>
      <c r="H24" s="1125"/>
      <c r="I24" s="1125"/>
      <c r="J24" s="1125"/>
      <c r="K24" s="1125"/>
      <c r="L24" s="1125"/>
      <c r="M24" s="1125"/>
      <c r="N24" s="1125"/>
      <c r="O24" s="1125"/>
      <c r="P24" s="1125"/>
      <c r="Q24" s="1125"/>
      <c r="R24" s="1125"/>
      <c r="S24" s="1125"/>
      <c r="T24" s="1125"/>
      <c r="U24" s="1125"/>
      <c r="V24" s="1125"/>
      <c r="W24" s="1125"/>
      <c r="X24" s="1125"/>
      <c r="Y24" s="1125"/>
      <c r="Z24" s="1125"/>
      <c r="AA24" s="1125"/>
      <c r="AB24" s="1125"/>
      <c r="AC24" s="1125"/>
      <c r="AD24" s="1125"/>
      <c r="AE24" s="1125"/>
      <c r="AF24" s="1125"/>
      <c r="AG24" s="1125"/>
      <c r="AH24" s="1125"/>
      <c r="AI24" s="1125"/>
      <c r="AJ24" s="1125"/>
      <c r="AK24" s="1125"/>
      <c r="AL24" s="1125"/>
      <c r="AM24" s="1125"/>
      <c r="AN24" s="1125"/>
      <c r="AO24" s="1125"/>
      <c r="AP24" s="1125"/>
      <c r="AQ24" s="1125"/>
      <c r="AR24" s="1125"/>
      <c r="AS24" s="1125"/>
      <c r="AT24" s="1125"/>
      <c r="AU24" s="1125"/>
      <c r="AV24" s="1125"/>
      <c r="AW24" s="1125"/>
      <c r="AX24" s="1125"/>
      <c r="AY24" s="1125"/>
      <c r="AZ24" s="1125"/>
      <c r="BA24" s="1125"/>
      <c r="BB24" s="1125"/>
      <c r="BC24" s="1125"/>
      <c r="BD24" s="1125"/>
      <c r="BE24" s="1125"/>
      <c r="BF24" s="1125"/>
      <c r="BG24" s="1125"/>
      <c r="BH24" s="1125"/>
      <c r="BI24" s="1125"/>
      <c r="BJ24" s="1125"/>
      <c r="BK24" s="1125"/>
      <c r="BL24" s="1125"/>
      <c r="BM24" s="1125"/>
      <c r="BN24" s="1125"/>
      <c r="BO24" s="1125"/>
      <c r="BP24" s="1125"/>
      <c r="BQ24" s="1125"/>
      <c r="BR24" s="1125"/>
      <c r="BS24" s="1125"/>
      <c r="BT24" s="1125"/>
      <c r="BU24" s="1125"/>
      <c r="BV24" s="1125"/>
      <c r="BW24" s="1125"/>
      <c r="BX24" s="1125"/>
      <c r="BY24" s="1125"/>
      <c r="BZ24" s="1125"/>
      <c r="CA24" s="1125"/>
    </row>
    <row r="25" spans="1:256" x14ac:dyDescent="0.2">
      <c r="A25" s="1204" t="s">
        <v>47</v>
      </c>
      <c r="B25" s="1079"/>
      <c r="C25" s="1205">
        <f>(I23+L23+O23+R23+U23+X23+AA23+AD23+AG23+AJ23+AM23+AP23+AS23+AV23+AY23+BB23+BE23+BH23+BK23+BN23+BQ23+BT23+BW23+BZ23)/SQRT((I23+L23+O23+R23+U23+X23+AA23+AD23+AG23+AJ23+AM23+AP23+AS23+AV23+AY23+BB23+BE23+BH23+BK23+BN23+BQ23+BT23+BW23+BZ23)^2+(J23+M23+P23+S23+V23+Y23+AB23+AE23+AH23+AK23+AN23+AQ23+AT23+AW23+AZ23+BC23+BF23++BI23+BL23+BO23+BR23+BU23+BX23+CA23)^2)</f>
        <v>0.99581445779120825</v>
      </c>
      <c r="D25" s="1204" t="s">
        <v>48</v>
      </c>
      <c r="E25" s="2414">
        <f>(CA23+BX23+BU23+BR23+BO23+BL23+BI23+BF23+BC23+AZ23+AW23+AT23+AQ23+AN23+AK23+AH23+AE23+AB23++Y23+V23+S23+P23+M23+J23)/(I23+L23+O23+R23+U23+X23+AA23+AD23+AG23+AJ23+AM23+AP23+AS23+AV23+AY23+BB23+BE23+BH23+BK23+BN23+BQ23+BT23+BW23+BZ23)</f>
        <v>-9.1782000156384339E-2</v>
      </c>
      <c r="F25" s="2414"/>
      <c r="G25" s="1131"/>
      <c r="H25" s="1079"/>
      <c r="I25" s="1079"/>
      <c r="J25" s="1079"/>
      <c r="K25" s="1079"/>
      <c r="L25" s="1079"/>
      <c r="M25" s="1079"/>
      <c r="N25" s="1079"/>
      <c r="O25" s="1079"/>
      <c r="P25" s="1079"/>
      <c r="Q25" s="1079"/>
      <c r="R25" s="1079"/>
      <c r="S25" s="1079"/>
      <c r="T25" s="1079"/>
      <c r="U25" s="1079"/>
      <c r="V25" s="1079"/>
      <c r="W25" s="1079"/>
      <c r="X25" s="1079"/>
      <c r="Y25" s="1079"/>
      <c r="Z25" s="1079"/>
      <c r="AA25" s="1079"/>
      <c r="AB25" s="1079"/>
      <c r="AC25" s="1079"/>
      <c r="AD25" s="1079"/>
      <c r="AE25" s="1079"/>
      <c r="AF25" s="1079"/>
      <c r="AG25" s="1079"/>
      <c r="AH25" s="1079"/>
      <c r="AI25" s="1079"/>
      <c r="AJ25" s="1079"/>
      <c r="AK25" s="1079"/>
      <c r="AL25" s="1079"/>
      <c r="AM25" s="1079"/>
      <c r="AN25" s="1079"/>
      <c r="AO25" s="1079"/>
      <c r="AP25" s="1079"/>
      <c r="AQ25" s="1079"/>
      <c r="AR25" s="1079"/>
      <c r="AS25" s="1079"/>
      <c r="AT25" s="1079"/>
      <c r="AU25" s="1079"/>
      <c r="AV25" s="1079"/>
      <c r="AW25" s="1079"/>
      <c r="AX25" s="1079"/>
      <c r="AY25" s="1079"/>
      <c r="AZ25" s="1079"/>
      <c r="BA25" s="1079"/>
      <c r="BB25" s="1079"/>
      <c r="BC25" s="1079"/>
      <c r="BD25" s="1079"/>
      <c r="BE25" s="1079"/>
      <c r="BF25" s="1079"/>
      <c r="BG25" s="1079"/>
      <c r="BH25" s="1079"/>
      <c r="BI25" s="1079"/>
      <c r="BJ25" s="1079"/>
      <c r="BK25" s="1079"/>
      <c r="BL25" s="1079"/>
      <c r="BM25" s="1079"/>
      <c r="BN25" s="1079"/>
      <c r="BO25" s="1079"/>
      <c r="BP25" s="1079"/>
      <c r="BQ25" s="1079"/>
      <c r="BR25" s="1079"/>
      <c r="BS25" s="1079"/>
      <c r="BT25" s="1079"/>
      <c r="BU25" s="1079"/>
      <c r="BV25" s="1079"/>
      <c r="BW25" s="1079"/>
      <c r="BX25" s="1079"/>
      <c r="BY25" s="1079"/>
      <c r="BZ25" s="1079"/>
      <c r="CA25" s="1079"/>
    </row>
    <row r="26" spans="1:256" ht="13.5" thickBot="1" x14ac:dyDescent="0.25">
      <c r="A26" s="1206"/>
      <c r="B26" s="1196"/>
      <c r="C26" s="1407"/>
      <c r="D26" s="1206"/>
      <c r="E26" s="2424"/>
      <c r="F26" s="2424"/>
      <c r="G26" s="1207"/>
      <c r="H26" s="1196"/>
      <c r="I26" s="1196"/>
      <c r="J26" s="1196"/>
      <c r="K26" s="1196"/>
      <c r="L26" s="1196"/>
      <c r="M26" s="1196"/>
      <c r="N26" s="1196"/>
      <c r="O26" s="1196"/>
      <c r="P26" s="1196"/>
      <c r="Q26" s="1196"/>
      <c r="R26" s="1196"/>
      <c r="S26" s="1196"/>
      <c r="T26" s="1196"/>
      <c r="U26" s="1196"/>
      <c r="V26" s="1196"/>
      <c r="W26" s="1196"/>
      <c r="X26" s="1196"/>
      <c r="Y26" s="1196"/>
      <c r="Z26" s="1196"/>
      <c r="AA26" s="1196"/>
      <c r="AB26" s="1196"/>
      <c r="AC26" s="1196"/>
      <c r="AD26" s="1196"/>
      <c r="AE26" s="1196"/>
      <c r="AF26" s="1196"/>
      <c r="AG26" s="1196"/>
      <c r="AH26" s="1196"/>
      <c r="AI26" s="1196"/>
      <c r="AJ26" s="1196"/>
      <c r="AK26" s="1196"/>
      <c r="AL26" s="1196"/>
      <c r="AM26" s="1196"/>
      <c r="AN26" s="1196"/>
      <c r="AO26" s="1196"/>
      <c r="AP26" s="1196"/>
      <c r="AQ26" s="1196"/>
      <c r="AR26" s="1196"/>
      <c r="AS26" s="1196"/>
      <c r="AT26" s="1196"/>
      <c r="AU26" s="1196"/>
      <c r="AV26" s="1196"/>
      <c r="AW26" s="1196"/>
      <c r="AX26" s="1196"/>
      <c r="AY26" s="1196"/>
      <c r="AZ26" s="1196"/>
      <c r="BA26" s="1196"/>
      <c r="BB26" s="1196"/>
      <c r="BC26" s="1196"/>
      <c r="BD26" s="1196"/>
      <c r="BE26" s="1196"/>
      <c r="BF26" s="1196"/>
      <c r="BG26" s="1196"/>
      <c r="BH26" s="1196"/>
      <c r="BI26" s="1196"/>
      <c r="BJ26" s="1196"/>
      <c r="BK26" s="1196"/>
      <c r="BL26" s="1196"/>
      <c r="BM26" s="1196"/>
      <c r="BN26" s="1196"/>
      <c r="BO26" s="1196"/>
      <c r="BP26" s="1196"/>
      <c r="BQ26" s="1196"/>
      <c r="BR26" s="1196"/>
      <c r="BS26" s="1196"/>
      <c r="BT26" s="1196"/>
      <c r="BU26" s="1196"/>
      <c r="BV26" s="1196"/>
      <c r="BW26" s="1196"/>
      <c r="BX26" s="1196"/>
      <c r="BY26" s="1196"/>
      <c r="BZ26" s="1196"/>
      <c r="CA26" s="1196"/>
    </row>
    <row r="27" spans="1:256" x14ac:dyDescent="0.2">
      <c r="A27" s="1121" t="s">
        <v>40</v>
      </c>
      <c r="B27" s="1208"/>
      <c r="C27" s="1209"/>
      <c r="D27" s="1210" t="s">
        <v>5</v>
      </c>
      <c r="E27" s="1211"/>
      <c r="F27" s="1210" t="s">
        <v>6</v>
      </c>
      <c r="G27" s="1212"/>
      <c r="H27" s="1213"/>
      <c r="I27" s="1214"/>
      <c r="J27" s="1214"/>
      <c r="K27" s="1213"/>
      <c r="L27" s="1214"/>
      <c r="M27" s="1214"/>
      <c r="N27" s="1213"/>
      <c r="O27" s="1214"/>
      <c r="P27" s="1214"/>
      <c r="Q27" s="1213"/>
      <c r="R27" s="1214"/>
      <c r="S27" s="1214"/>
      <c r="T27" s="1213"/>
      <c r="U27" s="1214"/>
      <c r="V27" s="1214"/>
      <c r="W27" s="1213"/>
      <c r="X27" s="1214"/>
      <c r="Y27" s="1214"/>
      <c r="Z27" s="1213"/>
      <c r="AA27" s="1214"/>
      <c r="AB27" s="1214"/>
      <c r="AC27" s="1213"/>
      <c r="AD27" s="1214"/>
      <c r="AE27" s="1214"/>
      <c r="AF27" s="1213"/>
      <c r="AG27" s="1214"/>
      <c r="AH27" s="1214"/>
      <c r="AI27" s="1213"/>
      <c r="AJ27" s="1214"/>
      <c r="AK27" s="1214"/>
      <c r="AL27" s="1213"/>
      <c r="AM27" s="1214"/>
      <c r="AN27" s="1214"/>
      <c r="AO27" s="1213"/>
      <c r="AP27" s="1214"/>
      <c r="AQ27" s="1214"/>
      <c r="AR27" s="1213"/>
      <c r="AS27" s="1214"/>
      <c r="AT27" s="1214"/>
      <c r="AU27" s="1213"/>
      <c r="AV27" s="1214"/>
      <c r="AW27" s="1214"/>
      <c r="AX27" s="1213"/>
      <c r="AY27" s="1214"/>
      <c r="AZ27" s="1214"/>
      <c r="BA27" s="1213"/>
      <c r="BB27" s="1214"/>
      <c r="BC27" s="1214"/>
      <c r="BD27" s="1213"/>
      <c r="BE27" s="1214"/>
      <c r="BF27" s="1214"/>
      <c r="BG27" s="1213"/>
      <c r="BH27" s="1214"/>
      <c r="BI27" s="1214"/>
      <c r="BJ27" s="1213"/>
      <c r="BK27" s="1214"/>
      <c r="BL27" s="1214"/>
      <c r="BM27" s="1213"/>
      <c r="BN27" s="1214"/>
      <c r="BO27" s="1214"/>
      <c r="BP27" s="1213"/>
      <c r="BQ27" s="1214"/>
      <c r="BR27" s="1214"/>
      <c r="BS27" s="1213"/>
      <c r="BT27" s="1214"/>
      <c r="BU27" s="1214"/>
      <c r="BV27" s="1213"/>
      <c r="BW27" s="1214"/>
      <c r="BX27" s="1214"/>
      <c r="BY27" s="1213"/>
      <c r="BZ27" s="1214"/>
      <c r="CA27" s="1214"/>
    </row>
    <row r="28" spans="1:256" x14ac:dyDescent="0.2">
      <c r="A28" s="1132"/>
      <c r="B28" s="1408" t="s">
        <v>89</v>
      </c>
      <c r="C28" s="1409"/>
      <c r="D28" s="1410" t="s">
        <v>7</v>
      </c>
      <c r="E28" s="1411" t="s">
        <v>8</v>
      </c>
      <c r="F28" s="1411" t="s">
        <v>7</v>
      </c>
      <c r="G28" s="1412" t="s">
        <v>8</v>
      </c>
      <c r="H28" s="1213"/>
      <c r="I28" s="1214"/>
      <c r="J28" s="1214"/>
      <c r="K28" s="1213"/>
      <c r="L28" s="1214"/>
      <c r="M28" s="1214"/>
      <c r="N28" s="1213"/>
      <c r="O28" s="1214"/>
      <c r="P28" s="1214"/>
      <c r="Q28" s="1213"/>
      <c r="R28" s="1214"/>
      <c r="S28" s="1214"/>
      <c r="T28" s="1213"/>
      <c r="U28" s="1214"/>
      <c r="V28" s="1214"/>
      <c r="W28" s="1213"/>
      <c r="X28" s="1214"/>
      <c r="Y28" s="1214"/>
      <c r="Z28" s="1213"/>
      <c r="AA28" s="1214"/>
      <c r="AB28" s="1214"/>
      <c r="AC28" s="1213"/>
      <c r="AD28" s="1214"/>
      <c r="AE28" s="1214"/>
      <c r="AF28" s="1213"/>
      <c r="AG28" s="1214"/>
      <c r="AH28" s="1214"/>
      <c r="AI28" s="1213"/>
      <c r="AJ28" s="1214"/>
      <c r="AK28" s="1214"/>
      <c r="AL28" s="1213"/>
      <c r="AM28" s="1214"/>
      <c r="AN28" s="1214"/>
      <c r="AO28" s="1213"/>
      <c r="AP28" s="1214"/>
      <c r="AQ28" s="1214"/>
      <c r="AR28" s="1213"/>
      <c r="AS28" s="1214"/>
      <c r="AT28" s="1214"/>
      <c r="AU28" s="1213"/>
      <c r="AV28" s="1214"/>
      <c r="AW28" s="1214"/>
      <c r="AX28" s="1213"/>
      <c r="AY28" s="1214"/>
      <c r="AZ28" s="1214"/>
      <c r="BA28" s="1213"/>
      <c r="BB28" s="1214"/>
      <c r="BC28" s="1214"/>
      <c r="BD28" s="1213"/>
      <c r="BE28" s="1214"/>
      <c r="BF28" s="1214"/>
      <c r="BG28" s="1213"/>
      <c r="BH28" s="1214"/>
      <c r="BI28" s="1214"/>
      <c r="BJ28" s="1213"/>
      <c r="BK28" s="1214"/>
      <c r="BL28" s="1214"/>
      <c r="BM28" s="1213"/>
      <c r="BN28" s="1214"/>
      <c r="BO28" s="1214"/>
      <c r="BP28" s="1213"/>
      <c r="BQ28" s="1214"/>
      <c r="BR28" s="1214"/>
      <c r="BS28" s="1213"/>
      <c r="BT28" s="1214"/>
      <c r="BU28" s="1214"/>
      <c r="BV28" s="1213"/>
      <c r="BW28" s="1214"/>
      <c r="BX28" s="1214"/>
      <c r="BY28" s="1213"/>
      <c r="BZ28" s="1214"/>
      <c r="CA28" s="1214"/>
    </row>
    <row r="29" spans="1:256" x14ac:dyDescent="0.2">
      <c r="A29" s="1133">
        <v>1</v>
      </c>
      <c r="B29" s="1413" t="s">
        <v>309</v>
      </c>
      <c r="C29" s="1233"/>
      <c r="D29" s="1234"/>
      <c r="E29" s="1235"/>
      <c r="F29" s="1236"/>
      <c r="G29" s="1237"/>
      <c r="H29" s="1227">
        <f>SQRT(I29^2+J29^2)*1000/(1.73*I$12)</f>
        <v>8.1369497554468655</v>
      </c>
      <c r="I29" s="1246">
        <v>0</v>
      </c>
      <c r="J29" s="1414">
        <v>-0.1464</v>
      </c>
      <c r="K29" s="1227">
        <f>SQRT(L29^2+M29^2)*1000/(1.73*L$12)</f>
        <v>8.2039171836469293</v>
      </c>
      <c r="L29" s="1246">
        <v>1.1999999999999999E-3</v>
      </c>
      <c r="M29" s="1414">
        <v>-0.14760000000000001</v>
      </c>
      <c r="N29" s="1227">
        <f>SQRT(O29^2+P29^2)*1000/(1.73*O$12)</f>
        <v>8.2036460649177414</v>
      </c>
      <c r="O29" s="1246">
        <v>0</v>
      </c>
      <c r="P29" s="1414">
        <v>-0.14760000000000001</v>
      </c>
      <c r="Q29" s="1227">
        <f>SQRT(R29^2+S29^2)*1000/(1.73*R$12)</f>
        <v>8.2706113067478242</v>
      </c>
      <c r="R29" s="1246">
        <v>1.1999999999999999E-3</v>
      </c>
      <c r="S29" s="1414">
        <v>-0.14879999999999999</v>
      </c>
      <c r="T29" s="1227">
        <f>SQRT(U29^2+V29^2)*1000/(1.73*U$12)</f>
        <v>8.2706113067478242</v>
      </c>
      <c r="U29" s="1246">
        <v>1.1999999999999999E-3</v>
      </c>
      <c r="V29" s="1414">
        <v>-0.14879999999999999</v>
      </c>
      <c r="W29" s="1227">
        <f>SQRT(X29^2+Y29^2)*1000/(1.73*X$12)</f>
        <v>8.2036460649177414</v>
      </c>
      <c r="X29" s="1246">
        <v>0</v>
      </c>
      <c r="Y29" s="1414">
        <v>-0.14760000000000001</v>
      </c>
      <c r="Z29" s="1227">
        <f>SQRT(AA29^2+AB29^2)*1000/(1.73*AA$12)</f>
        <v>8.0705290458546983</v>
      </c>
      <c r="AA29" s="1246">
        <v>1.1999999999999999E-3</v>
      </c>
      <c r="AB29" s="1414">
        <v>-0.1452</v>
      </c>
      <c r="AC29" s="1227">
        <f>SQRT(AD29^2+AE29^2)*1000/(1.73*AD$12)</f>
        <v>7.9368608270342378</v>
      </c>
      <c r="AD29" s="1246">
        <v>0</v>
      </c>
      <c r="AE29" s="1414">
        <v>-0.14280000000000001</v>
      </c>
      <c r="AF29" s="1227">
        <f>SQRT(AG29^2+AH29^2)*1000/(1.73*AG$12)</f>
        <v>7.9371410586814974</v>
      </c>
      <c r="AG29" s="1246">
        <v>1.1999999999999999E-3</v>
      </c>
      <c r="AH29" s="1414">
        <v>-0.14280000000000001</v>
      </c>
      <c r="AI29" s="1227">
        <f>SQRT(AJ29^2+AK29^2)*1000/(1.73*AJ$12)</f>
        <v>7.8704471239701732</v>
      </c>
      <c r="AJ29" s="1246">
        <v>1.1999999999999999E-3</v>
      </c>
      <c r="AK29" s="1414">
        <v>-0.1416</v>
      </c>
      <c r="AL29" s="1227">
        <f>SQRT(AM29^2+AN29^2)*1000/(1.73*AM$12)</f>
        <v>7.870164517563361</v>
      </c>
      <c r="AM29" s="1246">
        <v>0</v>
      </c>
      <c r="AN29" s="1414">
        <v>-0.1416</v>
      </c>
      <c r="AO29" s="1227">
        <f>SQRT(AP29^2+AQ29^2)*1000/(1.73*AP$12)</f>
        <v>7.8704471239701732</v>
      </c>
      <c r="AP29" s="1246">
        <v>1.1999999999999999E-3</v>
      </c>
      <c r="AQ29" s="1414">
        <v>-0.1416</v>
      </c>
      <c r="AR29" s="1227">
        <f>SQRT(AS29^2+AT29^2)*1000/(1.73*AS$12)</f>
        <v>7.870164517563361</v>
      </c>
      <c r="AS29" s="1246">
        <v>0</v>
      </c>
      <c r="AT29" s="1414">
        <v>-0.1416</v>
      </c>
      <c r="AU29" s="1227">
        <f>SQRT(AV29^2+AW29^2)*1000/(1.73*AV$12)</f>
        <v>7.9371410586814974</v>
      </c>
      <c r="AV29" s="1246">
        <v>1.1999999999999999E-3</v>
      </c>
      <c r="AW29" s="1414">
        <v>-0.14280000000000001</v>
      </c>
      <c r="AX29" s="1227">
        <f>SQRT(AY29^2+AZ29^2)*1000/(1.73*AY$12)</f>
        <v>7.9368608270342378</v>
      </c>
      <c r="AY29" s="1246">
        <v>0</v>
      </c>
      <c r="AZ29" s="1414">
        <v>-0.14280000000000001</v>
      </c>
      <c r="BA29" s="1227">
        <f>SQRT(BB29^2+BC29^2)*1000/(1.73*BB$12)</f>
        <v>7.8704471239701732</v>
      </c>
      <c r="BB29" s="1246">
        <v>1.1999999999999999E-3</v>
      </c>
      <c r="BC29" s="1414">
        <v>-0.1416</v>
      </c>
      <c r="BD29" s="1227">
        <f>SQRT(BE29^2+BF29^2)*1000/(1.73*BE$12)</f>
        <v>7.9371410586814974</v>
      </c>
      <c r="BE29" s="1246">
        <v>1.1999999999999999E-3</v>
      </c>
      <c r="BF29" s="1414">
        <v>-0.14280000000000001</v>
      </c>
      <c r="BG29" s="1227">
        <f>SQRT(BH29^2+BI29^2)*1000/(1.73*BH$12)</f>
        <v>7.870164517563361</v>
      </c>
      <c r="BH29" s="1246">
        <v>0</v>
      </c>
      <c r="BI29" s="1414">
        <v>-0.1416</v>
      </c>
      <c r="BJ29" s="1227">
        <f>SQRT(BK29^2+BL29^2)*1000/(1.73*BK$12)</f>
        <v>7.9371410586814974</v>
      </c>
      <c r="BK29" s="1246">
        <v>1.1999999999999999E-3</v>
      </c>
      <c r="BL29" s="1414">
        <v>-0.14280000000000001</v>
      </c>
      <c r="BM29" s="1227">
        <f>SQRT(BN29^2+BO29^2)*1000/(1.73*BN$12)</f>
        <v>7.870164517563361</v>
      </c>
      <c r="BN29" s="1246">
        <v>0</v>
      </c>
      <c r="BO29" s="1414">
        <v>-0.1416</v>
      </c>
      <c r="BP29" s="1227">
        <f>SQRT(BQ29^2+BR29^2)*1000/(1.73*BQ$12)</f>
        <v>7.9371410586814974</v>
      </c>
      <c r="BQ29" s="1246">
        <v>1.1999999999999999E-3</v>
      </c>
      <c r="BR29" s="1414">
        <v>-0.14280000000000001</v>
      </c>
      <c r="BS29" s="1227">
        <f>SQRT(BT29^2+BU29^2)*1000/(1.73*BT$12)</f>
        <v>8.0035571365051137</v>
      </c>
      <c r="BT29" s="1246">
        <v>0</v>
      </c>
      <c r="BU29" s="1414">
        <v>-0.14399999999999999</v>
      </c>
      <c r="BV29" s="1227">
        <f>SQRT(BW29^2+BX29^2)*1000/(1.73*BW$12)</f>
        <v>7.9371410586814974</v>
      </c>
      <c r="BW29" s="1246">
        <v>1.1999999999999999E-3</v>
      </c>
      <c r="BX29" s="1414">
        <v>-0.14280000000000001</v>
      </c>
      <c r="BY29" s="1227">
        <f>SQRT(BZ29^2+CA29^2)*1000/(1.73*BZ$12)</f>
        <v>8.0705290458546983</v>
      </c>
      <c r="BZ29" s="1246">
        <v>1.1999999999999999E-3</v>
      </c>
      <c r="CA29" s="1414">
        <v>-0.1452</v>
      </c>
    </row>
    <row r="30" spans="1:256" x14ac:dyDescent="0.2">
      <c r="A30" s="1133">
        <v>2</v>
      </c>
      <c r="B30" s="1413" t="s">
        <v>310</v>
      </c>
      <c r="C30" s="1233"/>
      <c r="D30" s="1234"/>
      <c r="E30" s="1235"/>
      <c r="F30" s="1236"/>
      <c r="G30" s="1237"/>
      <c r="H30" s="1227">
        <f>SQRT(I30^2+J30^2)*1000/(1.73*I$18)</f>
        <v>8.2036460649177414</v>
      </c>
      <c r="I30" s="1254">
        <v>0</v>
      </c>
      <c r="J30" s="1415">
        <v>-0.14760000000000001</v>
      </c>
      <c r="K30" s="1227">
        <f>SQRT(L30^2+M30^2)*1000/(1.73*L$18)</f>
        <v>8.2703423743886155</v>
      </c>
      <c r="L30" s="1254">
        <v>0</v>
      </c>
      <c r="M30" s="1415">
        <v>-0.14879999999999999</v>
      </c>
      <c r="N30" s="1227">
        <f>SQRT(O30^2+P30^2)*1000/(1.73*O$18)</f>
        <v>8.2706113067478242</v>
      </c>
      <c r="O30" s="1254">
        <v>1.1999999999999999E-3</v>
      </c>
      <c r="P30" s="1415">
        <v>-0.14879999999999999</v>
      </c>
      <c r="Q30" s="1227">
        <f>SQRT(R30^2+S30^2)*1000/(1.73*R$18)</f>
        <v>8.3370386838594932</v>
      </c>
      <c r="R30" s="1254">
        <v>0</v>
      </c>
      <c r="S30" s="1415">
        <v>-0.15</v>
      </c>
      <c r="T30" s="1227">
        <f>SQRT(U30^2+V30^2)*1000/(1.73*U$18)</f>
        <v>8.2703423743886155</v>
      </c>
      <c r="U30" s="1254">
        <v>0</v>
      </c>
      <c r="V30" s="1415">
        <v>-0.14879999999999999</v>
      </c>
      <c r="W30" s="1227">
        <f>SQRT(X30^2+Y30^2)*1000/(1.73*X$18)</f>
        <v>8.3370386838594932</v>
      </c>
      <c r="X30" s="1254">
        <v>0</v>
      </c>
      <c r="Y30" s="1415">
        <v>-0.15</v>
      </c>
      <c r="Z30" s="1227">
        <f>SQRT(AA30^2+AB30^2)*1000/(1.73*AA$18)</f>
        <v>8.2039171836469293</v>
      </c>
      <c r="AA30" s="1254">
        <v>1.1999999999999999E-3</v>
      </c>
      <c r="AB30" s="1415">
        <v>-0.14760000000000001</v>
      </c>
      <c r="AC30" s="1227">
        <f>SQRT(AD30^2+AE30^2)*1000/(1.73*AD$18)</f>
        <v>8.0035571365051137</v>
      </c>
      <c r="AD30" s="1254">
        <v>0</v>
      </c>
      <c r="AE30" s="1415">
        <v>-0.14399999999999999</v>
      </c>
      <c r="AF30" s="1227">
        <f>SQRT(AG30^2+AH30^2)*1000/(1.73*AG$18)</f>
        <v>8.0035571365051137</v>
      </c>
      <c r="AG30" s="1254">
        <v>0</v>
      </c>
      <c r="AH30" s="1415">
        <v>-0.14399999999999999</v>
      </c>
      <c r="AI30" s="1227">
        <f>SQRT(AJ30^2+AK30^2)*1000/(1.73*AJ$18)</f>
        <v>7.870164517563361</v>
      </c>
      <c r="AJ30" s="1254">
        <v>0</v>
      </c>
      <c r="AK30" s="1415">
        <v>-0.1416</v>
      </c>
      <c r="AL30" s="1227">
        <f>SQRT(AM30^2+AN30^2)*1000/(1.73*AM$18)</f>
        <v>7.9371410586814974</v>
      </c>
      <c r="AM30" s="1254">
        <v>1.1999999999999999E-3</v>
      </c>
      <c r="AN30" s="1415">
        <v>-0.14280000000000001</v>
      </c>
      <c r="AO30" s="1227">
        <f>SQRT(AP30^2+AQ30^2)*1000/(1.73*AP$18)</f>
        <v>7.9368608270342378</v>
      </c>
      <c r="AP30" s="1254">
        <v>0</v>
      </c>
      <c r="AQ30" s="1415">
        <v>-0.14280000000000001</v>
      </c>
      <c r="AR30" s="1227">
        <f>SQRT(AS30^2+AT30^2)*1000/(1.73*AS$18)</f>
        <v>8.0035571365051137</v>
      </c>
      <c r="AS30" s="1254">
        <v>0</v>
      </c>
      <c r="AT30" s="1415">
        <v>-0.14399999999999999</v>
      </c>
      <c r="AU30" s="1227">
        <f>SQRT(AV30^2+AW30^2)*1000/(1.73*AV$18)</f>
        <v>7.9368608270342378</v>
      </c>
      <c r="AV30" s="1254">
        <v>0</v>
      </c>
      <c r="AW30" s="1415">
        <v>-0.14280000000000001</v>
      </c>
      <c r="AX30" s="1227">
        <f>SQRT(AY30^2+AZ30^2)*1000/(1.73*AY$18)</f>
        <v>8.0038350329700663</v>
      </c>
      <c r="AY30" s="1254">
        <v>1.1999999999999999E-3</v>
      </c>
      <c r="AZ30" s="1415">
        <v>-0.14399999999999999</v>
      </c>
      <c r="BA30" s="1227">
        <f>SQRT(BB30^2+BC30^2)*1000/(1.73*BB$18)</f>
        <v>8.0035571365051137</v>
      </c>
      <c r="BB30" s="1254">
        <v>0</v>
      </c>
      <c r="BC30" s="1415">
        <v>-0.14399999999999999</v>
      </c>
      <c r="BD30" s="1227">
        <f>SQRT(BE30^2+BF30^2)*1000/(1.73*BE$18)</f>
        <v>7.9368608270342378</v>
      </c>
      <c r="BE30" s="1254">
        <v>0</v>
      </c>
      <c r="BF30" s="1415">
        <v>-0.14280000000000001</v>
      </c>
      <c r="BG30" s="1227">
        <f>SQRT(BH30^2+BI30^2)*1000/(1.73*BH$18)</f>
        <v>7.9371410586814974</v>
      </c>
      <c r="BH30" s="1254">
        <v>1.1999999999999999E-3</v>
      </c>
      <c r="BI30" s="1415">
        <v>-0.14280000000000001</v>
      </c>
      <c r="BJ30" s="1227">
        <f>SQRT(BK30^2+BL30^2)*1000/(1.73*BK$18)</f>
        <v>8.0035571365051137</v>
      </c>
      <c r="BK30" s="1254">
        <v>0</v>
      </c>
      <c r="BL30" s="1415">
        <v>-0.14399999999999999</v>
      </c>
      <c r="BM30" s="1227">
        <f>SQRT(BN30^2+BO30^2)*1000/(1.73*BN$18)</f>
        <v>7.9368608270342378</v>
      </c>
      <c r="BN30" s="1254">
        <v>0</v>
      </c>
      <c r="BO30" s="1415">
        <v>-0.14280000000000001</v>
      </c>
      <c r="BP30" s="1227">
        <f>SQRT(BQ30^2+BR30^2)*1000/(1.73*BQ$18)</f>
        <v>8.0702534459759878</v>
      </c>
      <c r="BQ30" s="1254">
        <v>0</v>
      </c>
      <c r="BR30" s="1415">
        <v>-0.1452</v>
      </c>
      <c r="BS30" s="1227">
        <f>SQRT(BT30^2+BU30^2)*1000/(1.73*BT$18)</f>
        <v>8.0038350329700663</v>
      </c>
      <c r="BT30" s="1254">
        <v>1.1999999999999999E-3</v>
      </c>
      <c r="BU30" s="1415">
        <v>-0.14399999999999999</v>
      </c>
      <c r="BV30" s="1227">
        <f>SQRT(BW30^2+BX30^2)*1000/(1.73*BW$18)</f>
        <v>8.1369497554468655</v>
      </c>
      <c r="BW30" s="1254">
        <v>0</v>
      </c>
      <c r="BX30" s="1415">
        <v>-0.1464</v>
      </c>
      <c r="BY30" s="1227">
        <f>SQRT(BZ30^2+CA30^2)*1000/(1.73*BZ$18)</f>
        <v>8.1369497554468655</v>
      </c>
      <c r="BZ30" s="1254">
        <v>0</v>
      </c>
      <c r="CA30" s="1415">
        <v>-0.1464</v>
      </c>
    </row>
    <row r="31" spans="1:256" x14ac:dyDescent="0.2">
      <c r="A31" s="1133">
        <v>3</v>
      </c>
      <c r="B31" s="1241" t="s">
        <v>311</v>
      </c>
      <c r="C31" s="1233"/>
      <c r="D31" s="1234"/>
      <c r="E31" s="1235"/>
      <c r="F31" s="1236"/>
      <c r="G31" s="1237"/>
      <c r="H31" s="1227">
        <f>SQRT(I31^2+J31^2)*1000/(1.73*I$12)</f>
        <v>0.26678523788350378</v>
      </c>
      <c r="I31" s="1254">
        <v>0</v>
      </c>
      <c r="J31" s="1415">
        <v>-4.7999999999999996E-3</v>
      </c>
      <c r="K31" s="1227">
        <f>SQRT(L31^2+M31^2)*1000/(1.73*L$12)</f>
        <v>0.13339261894175189</v>
      </c>
      <c r="L31" s="1254">
        <v>0</v>
      </c>
      <c r="M31" s="1415">
        <v>-2.3999999999999998E-3</v>
      </c>
      <c r="N31" s="1227">
        <f>SQRT(O31^2+P31^2)*1000/(1.73*O$12)</f>
        <v>0.20008892841262782</v>
      </c>
      <c r="O31" s="1254">
        <v>0</v>
      </c>
      <c r="P31" s="1415">
        <v>-3.5999999999999999E-3</v>
      </c>
      <c r="Q31" s="1227">
        <f>SQRT(R31^2+S31^2)*1000/(1.73*R$12)</f>
        <v>0.13339261894175189</v>
      </c>
      <c r="R31" s="1254">
        <v>0</v>
      </c>
      <c r="S31" s="1415">
        <v>-2.3999999999999998E-3</v>
      </c>
      <c r="T31" s="1227">
        <f>SQRT(U31^2+V31^2)*1000/(1.73*U$12)</f>
        <v>0.20008892841262782</v>
      </c>
      <c r="U31" s="1254">
        <v>0</v>
      </c>
      <c r="V31" s="1415">
        <v>-3.5999999999999999E-3</v>
      </c>
      <c r="W31" s="1227">
        <f>SQRT(X31^2+Y31^2)*1000/(1.73*X$12)</f>
        <v>0.26678523788350378</v>
      </c>
      <c r="X31" s="1254">
        <v>0</v>
      </c>
      <c r="Y31" s="1415">
        <v>-4.7999999999999996E-3</v>
      </c>
      <c r="Z31" s="1227">
        <f>SQRT(AA31^2+AB31^2)*1000/(1.73*AA$12)</f>
        <v>0.20008892841262782</v>
      </c>
      <c r="AA31" s="1254">
        <v>0</v>
      </c>
      <c r="AB31" s="1415">
        <v>-3.5999999999999999E-3</v>
      </c>
      <c r="AC31" s="1227">
        <f>SQRT(AD31^2+AE31^2)*1000/(1.73*AD$12)</f>
        <v>0.20008892841262782</v>
      </c>
      <c r="AD31" s="1254">
        <v>0</v>
      </c>
      <c r="AE31" s="1415">
        <v>-3.5999999999999999E-3</v>
      </c>
      <c r="AF31" s="1227">
        <f>SQRT(AG31^2+AH31^2)*1000/(1.73*AG$12)</f>
        <v>0.27499592878730506</v>
      </c>
      <c r="AG31" s="1254">
        <v>1.1999999999999999E-3</v>
      </c>
      <c r="AH31" s="1415">
        <v>-4.7999999999999996E-3</v>
      </c>
      <c r="AI31" s="1227">
        <f>SQRT(AJ31^2+AK31^2)*1000/(1.73*AJ$12)</f>
        <v>0.13339261894175189</v>
      </c>
      <c r="AJ31" s="1254">
        <v>0</v>
      </c>
      <c r="AK31" s="1415">
        <v>-2.3999999999999998E-3</v>
      </c>
      <c r="AL31" s="1227">
        <f>SQRT(AM31^2+AN31^2)*1000/(1.73*AM$12)</f>
        <v>0.13339261894175189</v>
      </c>
      <c r="AM31" s="1254">
        <v>0</v>
      </c>
      <c r="AN31" s="1415">
        <v>-2.3999999999999998E-3</v>
      </c>
      <c r="AO31" s="1227">
        <f>SQRT(AP31^2+AQ31^2)*1000/(1.73*AP$12)</f>
        <v>0.26678523788350378</v>
      </c>
      <c r="AP31" s="1254">
        <v>0</v>
      </c>
      <c r="AQ31" s="1415">
        <v>-4.7999999999999996E-3</v>
      </c>
      <c r="AR31" s="1227">
        <f>SQRT(AS31^2+AT31^2)*1000/(1.73*AS$12)</f>
        <v>0.20008892841262782</v>
      </c>
      <c r="AS31" s="1254">
        <v>0</v>
      </c>
      <c r="AT31" s="1415">
        <v>-3.5999999999999999E-3</v>
      </c>
      <c r="AU31" s="1227">
        <f>SQRT(AV31^2+AW31^2)*1000/(1.73*AV$12)</f>
        <v>0.20008892841262782</v>
      </c>
      <c r="AV31" s="1254">
        <v>0</v>
      </c>
      <c r="AW31" s="1415">
        <v>-3.5999999999999999E-3</v>
      </c>
      <c r="AX31" s="1227">
        <f>SQRT(AY31^2+AZ31^2)*1000/(1.73*AY$12)</f>
        <v>0.26678523788350378</v>
      </c>
      <c r="AY31" s="1254">
        <v>0</v>
      </c>
      <c r="AZ31" s="1415">
        <v>-4.7999999999999996E-3</v>
      </c>
      <c r="BA31" s="1227">
        <f>SQRT(BB31^2+BC31^2)*1000/(1.73*BB$12)</f>
        <v>0.20008892841262782</v>
      </c>
      <c r="BB31" s="1254">
        <v>0</v>
      </c>
      <c r="BC31" s="1415">
        <v>-3.5999999999999999E-3</v>
      </c>
      <c r="BD31" s="1227">
        <f>SQRT(BE31^2+BF31^2)*1000/(1.73*BE$12)</f>
        <v>0.13339261894175189</v>
      </c>
      <c r="BE31" s="1254">
        <v>0</v>
      </c>
      <c r="BF31" s="1415">
        <v>-2.3999999999999998E-3</v>
      </c>
      <c r="BG31" s="1227">
        <f>SQRT(BH31^2+BI31^2)*1000/(1.73*BH$12)</f>
        <v>0.26678523788350378</v>
      </c>
      <c r="BH31" s="1254">
        <v>0</v>
      </c>
      <c r="BI31" s="1415">
        <v>-4.7999999999999996E-3</v>
      </c>
      <c r="BJ31" s="1227">
        <f>SQRT(BK31^2+BL31^2)*1000/(1.73*BK$12)</f>
        <v>0.20008892841262782</v>
      </c>
      <c r="BK31" s="1254">
        <v>0</v>
      </c>
      <c r="BL31" s="1415">
        <v>-3.5999999999999999E-3</v>
      </c>
      <c r="BM31" s="1227">
        <f>SQRT(BN31^2+BO31^2)*1000/(1.73*BN$12)</f>
        <v>0.20008892841262782</v>
      </c>
      <c r="BN31" s="1254">
        <v>0</v>
      </c>
      <c r="BO31" s="1415">
        <v>-3.5999999999999999E-3</v>
      </c>
      <c r="BP31" s="1227">
        <f>SQRT(BQ31^2+BR31^2)*1000/(1.73*BQ$12)</f>
        <v>0.26678523788350378</v>
      </c>
      <c r="BQ31" s="1254">
        <v>0</v>
      </c>
      <c r="BR31" s="1415">
        <v>-4.7999999999999996E-3</v>
      </c>
      <c r="BS31" s="1227">
        <f>SQRT(BT31^2+BU31^2)*1000/(1.73*BT$12)</f>
        <v>0.13339261894175189</v>
      </c>
      <c r="BT31" s="1254">
        <v>0</v>
      </c>
      <c r="BU31" s="1415">
        <v>-2.3999999999999998E-3</v>
      </c>
      <c r="BV31" s="1227">
        <f>SQRT(BW31^2+BX31^2)*1000/(1.73*BW$12)</f>
        <v>0.13339261894175189</v>
      </c>
      <c r="BW31" s="1254">
        <v>0</v>
      </c>
      <c r="BX31" s="1415">
        <v>-2.3999999999999998E-3</v>
      </c>
      <c r="BY31" s="1227">
        <f>SQRT(BZ31^2+CA31^2)*1000/(1.73*BZ$12)</f>
        <v>0.20008892841262782</v>
      </c>
      <c r="BZ31" s="1254">
        <v>0</v>
      </c>
      <c r="CA31" s="1415">
        <v>-3.5999999999999999E-3</v>
      </c>
    </row>
    <row r="32" spans="1:256" x14ac:dyDescent="0.2">
      <c r="A32" s="1133">
        <v>4</v>
      </c>
      <c r="B32" s="1241" t="s">
        <v>312</v>
      </c>
      <c r="C32" s="1233"/>
      <c r="D32" s="1234"/>
      <c r="E32" s="1235"/>
      <c r="F32" s="1236"/>
      <c r="G32" s="1237"/>
      <c r="H32" s="1227">
        <f>SQRT(I32^2+J32^2)*1000/(1.73*I$18)</f>
        <v>3.5374203484685061</v>
      </c>
      <c r="I32" s="1254">
        <v>-2.3999999999999998E-3</v>
      </c>
      <c r="J32" s="1415">
        <v>-6.3600000000000004E-2</v>
      </c>
      <c r="K32" s="1227">
        <f>SQRT(L32^2+M32^2)*1000/(1.73*L$18)</f>
        <v>3.5374203484685061</v>
      </c>
      <c r="L32" s="1254">
        <v>-2.3999999999999998E-3</v>
      </c>
      <c r="M32" s="1415">
        <v>-6.3600000000000004E-2</v>
      </c>
      <c r="N32" s="1227">
        <f>SQRT(O32^2+P32^2)*1000/(1.73*O$18)</f>
        <v>3.5374203484685061</v>
      </c>
      <c r="O32" s="1254">
        <v>-2.3999999999999998E-3</v>
      </c>
      <c r="P32" s="1415">
        <v>-6.3600000000000004E-2</v>
      </c>
      <c r="Q32" s="1227">
        <f>SQRT(R32^2+S32^2)*1000/(1.73*R$18)</f>
        <v>3.6040700985610385</v>
      </c>
      <c r="R32" s="1254">
        <v>-2.3999999999999998E-3</v>
      </c>
      <c r="S32" s="1415">
        <v>-6.4799999999999996E-2</v>
      </c>
      <c r="T32" s="1227">
        <f>SQRT(U32^2+V32^2)*1000/(1.73*U$18)</f>
        <v>3.5374203484685061</v>
      </c>
      <c r="U32" s="1254">
        <v>-2.3999999999999998E-3</v>
      </c>
      <c r="V32" s="1415">
        <v>-6.3600000000000004E-2</v>
      </c>
      <c r="W32" s="1227">
        <f>SQRT(X32^2+Y32^2)*1000/(1.73*X$18)</f>
        <v>3.5374203484685061</v>
      </c>
      <c r="X32" s="1254">
        <v>-2.3999999999999998E-3</v>
      </c>
      <c r="Y32" s="1415">
        <v>-6.3600000000000004E-2</v>
      </c>
      <c r="Z32" s="1227">
        <f>SQRT(AA32^2+AB32^2)*1000/(1.73*AA$18)</f>
        <v>3.4707723871741272</v>
      </c>
      <c r="AA32" s="1254">
        <v>-2.3999999999999998E-3</v>
      </c>
      <c r="AB32" s="1415">
        <v>-6.2399999999999997E-2</v>
      </c>
      <c r="AC32" s="1227">
        <f>SQRT(AD32^2+AE32^2)*1000/(1.73*AD$18)</f>
        <v>3.4707723871741272</v>
      </c>
      <c r="AD32" s="1254">
        <v>-2.3999999999999998E-3</v>
      </c>
      <c r="AE32" s="1415">
        <v>-6.2399999999999997E-2</v>
      </c>
      <c r="AF32" s="1227">
        <f>SQRT(AG32^2+AH32^2)*1000/(1.73*AG$18)</f>
        <v>3.404126319744289</v>
      </c>
      <c r="AG32" s="1254">
        <v>-2.3999999999999998E-3</v>
      </c>
      <c r="AH32" s="1415">
        <v>-6.1199999999999997E-2</v>
      </c>
      <c r="AI32" s="1227">
        <f>SQRT(AJ32^2+AK32^2)*1000/(1.73*AJ$18)</f>
        <v>3.404126319744289</v>
      </c>
      <c r="AJ32" s="1254">
        <v>-2.3999999999999998E-3</v>
      </c>
      <c r="AK32" s="1415">
        <v>-6.1199999999999997E-2</v>
      </c>
      <c r="AL32" s="1227">
        <f>SQRT(AM32^2+AN32^2)*1000/(1.73*AM$18)</f>
        <v>3.404126319744289</v>
      </c>
      <c r="AM32" s="1254">
        <v>-2.3999999999999998E-3</v>
      </c>
      <c r="AN32" s="1415">
        <v>-6.1199999999999997E-2</v>
      </c>
      <c r="AO32" s="1227">
        <f>SQRT(AP32^2+AQ32^2)*1000/(1.73*AP$18)</f>
        <v>3.4073916694828275</v>
      </c>
      <c r="AP32" s="1254">
        <v>-3.5999999999999999E-3</v>
      </c>
      <c r="AQ32" s="1415">
        <v>-6.1199999999999997E-2</v>
      </c>
      <c r="AR32" s="1227">
        <f>SQRT(AS32^2+AT32^2)*1000/(1.73*AS$18)</f>
        <v>3.4707723871741272</v>
      </c>
      <c r="AS32" s="1254">
        <v>-2.3999999999999998E-3</v>
      </c>
      <c r="AT32" s="1415">
        <v>-6.2399999999999997E-2</v>
      </c>
      <c r="AU32" s="1227">
        <f>SQRT(AV32^2+AW32^2)*1000/(1.73*AV$18)</f>
        <v>3.404126319744289</v>
      </c>
      <c r="AV32" s="1254">
        <v>-2.3999999999999998E-3</v>
      </c>
      <c r="AW32" s="1415">
        <v>-6.1199999999999997E-2</v>
      </c>
      <c r="AX32" s="1227">
        <f>SQRT(AY32^2+AZ32^2)*1000/(1.73*AY$18)</f>
        <v>3.404126319744289</v>
      </c>
      <c r="AY32" s="1254">
        <v>-2.3999999999999998E-3</v>
      </c>
      <c r="AZ32" s="1415">
        <v>-6.1199999999999997E-2</v>
      </c>
      <c r="BA32" s="1227">
        <f>SQRT(BB32^2+BC32^2)*1000/(1.73*BB$18)</f>
        <v>3.4707723871741272</v>
      </c>
      <c r="BB32" s="1254">
        <v>-2.3999999999999998E-3</v>
      </c>
      <c r="BC32" s="1415">
        <v>-6.2399999999999997E-2</v>
      </c>
      <c r="BD32" s="1227">
        <f>SQRT(BE32^2+BF32^2)*1000/(1.73*BE$18)</f>
        <v>3.404126319744289</v>
      </c>
      <c r="BE32" s="1254">
        <v>-2.3999999999999998E-3</v>
      </c>
      <c r="BF32" s="1415">
        <v>-6.1199999999999997E-2</v>
      </c>
      <c r="BG32" s="1227">
        <f>SQRT(BH32^2+BI32^2)*1000/(1.73*BH$18)</f>
        <v>3.404126319744289</v>
      </c>
      <c r="BH32" s="1254">
        <v>-2.3999999999999998E-3</v>
      </c>
      <c r="BI32" s="1415">
        <v>-6.1199999999999997E-2</v>
      </c>
      <c r="BJ32" s="1227">
        <f>SQRT(BK32^2+BL32^2)*1000/(1.73*BK$18)</f>
        <v>3.404126319744289</v>
      </c>
      <c r="BK32" s="1254">
        <v>-2.3999999999999998E-3</v>
      </c>
      <c r="BL32" s="1415">
        <v>-6.1199999999999997E-2</v>
      </c>
      <c r="BM32" s="1227">
        <f>SQRT(BN32^2+BO32^2)*1000/(1.73*BN$18)</f>
        <v>3.4707723871741272</v>
      </c>
      <c r="BN32" s="1254">
        <v>-2.3999999999999998E-3</v>
      </c>
      <c r="BO32" s="1415">
        <v>-6.2399999999999997E-2</v>
      </c>
      <c r="BP32" s="1227">
        <f>SQRT(BQ32^2+BR32^2)*1000/(1.73*BQ$18)</f>
        <v>3.404126319744289</v>
      </c>
      <c r="BQ32" s="1254">
        <v>-2.3999999999999998E-3</v>
      </c>
      <c r="BR32" s="1415">
        <v>-6.1199999999999997E-2</v>
      </c>
      <c r="BS32" s="1227">
        <f>SQRT(BT32^2+BU32^2)*1000/(1.73*BT$18)</f>
        <v>3.4707723871741272</v>
      </c>
      <c r="BT32" s="1254">
        <v>-2.3999999999999998E-3</v>
      </c>
      <c r="BU32" s="1415">
        <v>-6.2399999999999997E-2</v>
      </c>
      <c r="BV32" s="1227">
        <f>SQRT(BW32^2+BX32^2)*1000/(1.73*BW$18)</f>
        <v>3.47397509375867</v>
      </c>
      <c r="BW32" s="1254">
        <v>-3.5999999999999999E-3</v>
      </c>
      <c r="BX32" s="1415">
        <v>-6.2399999999999997E-2</v>
      </c>
      <c r="BY32" s="1227">
        <f>SQRT(BZ32^2+CA32^2)*1000/(1.73*BZ$18)</f>
        <v>3.4707723871741272</v>
      </c>
      <c r="BZ32" s="1254">
        <v>-2.3999999999999998E-3</v>
      </c>
      <c r="CA32" s="1415">
        <v>-6.2399999999999997E-2</v>
      </c>
    </row>
    <row r="33" spans="1:81" x14ac:dyDescent="0.2">
      <c r="A33" s="1133">
        <v>5</v>
      </c>
      <c r="B33" s="1241" t="s">
        <v>313</v>
      </c>
      <c r="C33" s="1233"/>
      <c r="D33" s="1234"/>
      <c r="E33" s="1235"/>
      <c r="F33" s="1236"/>
      <c r="G33" s="1237"/>
      <c r="H33" s="1227">
        <f>SQRT(I33^2+J33^2)*1000/(1.73*I$12)</f>
        <v>96.112442477194733</v>
      </c>
      <c r="I33" s="1254">
        <v>1.7292000000000001</v>
      </c>
      <c r="J33" s="1415">
        <v>1.38E-2</v>
      </c>
      <c r="K33" s="1227">
        <f>SQRT(L33^2+M33^2)*1000/(1.73*L$12)</f>
        <v>89.899803132197491</v>
      </c>
      <c r="L33" s="1254">
        <v>1.6152</v>
      </c>
      <c r="M33" s="1415">
        <v>-8.5800000000000001E-2</v>
      </c>
      <c r="N33" s="1227">
        <f>SQRT(O33^2+P33^2)*1000/(1.73*O$12)</f>
        <v>88.74761036202986</v>
      </c>
      <c r="O33" s="1254">
        <v>1.5935999999999999</v>
      </c>
      <c r="P33" s="1415">
        <v>-0.1002</v>
      </c>
      <c r="Q33" s="1227">
        <f>SQRT(R33^2+S33^2)*1000/(1.73*R$12)</f>
        <v>88.346128904890548</v>
      </c>
      <c r="R33" s="1254">
        <v>1.5864</v>
      </c>
      <c r="S33" s="1415">
        <v>-9.9599999999999994E-2</v>
      </c>
      <c r="T33" s="1227">
        <f>SQRT(U33^2+V33^2)*1000/(1.73*U$12)</f>
        <v>89.377913683673185</v>
      </c>
      <c r="U33" s="1254">
        <v>1.605</v>
      </c>
      <c r="V33" s="1415">
        <v>-9.9599999999999994E-2</v>
      </c>
      <c r="W33" s="1227">
        <f>SQRT(X33^2+Y33^2)*1000/(1.73*X$12)</f>
        <v>91.794586495480303</v>
      </c>
      <c r="X33" s="1254">
        <v>1.6494</v>
      </c>
      <c r="Y33" s="1415">
        <v>-8.4599999999999995E-2</v>
      </c>
      <c r="Z33" s="1227">
        <f>SQRT(AA33^2+AB33^2)*1000/(1.73*AA$12)</f>
        <v>98.318080384622121</v>
      </c>
      <c r="AA33" s="1254">
        <v>1.7669999999999999</v>
      </c>
      <c r="AB33" s="1415">
        <v>-8.2799999999999999E-2</v>
      </c>
      <c r="AC33" s="1227">
        <f>SQRT(AD33^2+AE33^2)*1000/(1.73*AD$12)</f>
        <v>102.15672023961793</v>
      </c>
      <c r="AD33" s="1254">
        <v>1.8360000000000001</v>
      </c>
      <c r="AE33" s="1415">
        <v>-8.5800000000000001E-2</v>
      </c>
      <c r="AF33" s="1227">
        <f>SQRT(AG33^2+AH33^2)*1000/(1.73*AG$12)</f>
        <v>105.09051257149417</v>
      </c>
      <c r="AG33" s="1254">
        <v>1.89</v>
      </c>
      <c r="AH33" s="1415">
        <v>5.4600000000000003E-2</v>
      </c>
      <c r="AI33" s="1227">
        <f>SQRT(AJ33^2+AK33^2)*1000/(1.73*AJ$12)</f>
        <v>104.88910770730041</v>
      </c>
      <c r="AJ33" s="1254">
        <v>1.8822000000000001</v>
      </c>
      <c r="AK33" s="1415">
        <v>0.1368</v>
      </c>
      <c r="AL33" s="1227">
        <f>SQRT(AM33^2+AN33^2)*1000/(1.73*AM$12)</f>
        <v>107.02713471951753</v>
      </c>
      <c r="AM33" s="1254">
        <v>1.9194</v>
      </c>
      <c r="AN33" s="1415">
        <v>0.15479999999999999</v>
      </c>
      <c r="AO33" s="1227">
        <f>SQRT(AP33^2+AQ33^2)*1000/(1.73*AP$12)</f>
        <v>107.0293167689486</v>
      </c>
      <c r="AP33" s="1254">
        <v>1.9224000000000001</v>
      </c>
      <c r="AQ33" s="1415">
        <v>0.11219999999999999</v>
      </c>
      <c r="AR33" s="1227">
        <f>SQRT(AS33^2+AT33^2)*1000/(1.73*AS$12)</f>
        <v>105.19246062879607</v>
      </c>
      <c r="AS33" s="1254">
        <v>1.8917999999999999</v>
      </c>
      <c r="AT33" s="1415">
        <v>5.5800000000000002E-2</v>
      </c>
      <c r="AU33" s="1227">
        <f>SQRT(AV33^2+AW33^2)*1000/(1.73*AV$12)</f>
        <v>105.78238637933683</v>
      </c>
      <c r="AV33" s="1254">
        <v>1.8984000000000001</v>
      </c>
      <c r="AW33" s="1415">
        <v>0.1356</v>
      </c>
      <c r="AX33" s="1227">
        <f>SQRT(AY33^2+AZ33^2)*1000/(1.73*AY$12)</f>
        <v>106.3811363031131</v>
      </c>
      <c r="AY33" s="1254">
        <v>1.9092</v>
      </c>
      <c r="AZ33" s="1415">
        <v>0.1356</v>
      </c>
      <c r="BA33" s="1227">
        <f>SQRT(BB33^2+BC33^2)*1000/(1.73*BB$12)</f>
        <v>109.08377667769128</v>
      </c>
      <c r="BB33" s="1254">
        <v>1.9590000000000001</v>
      </c>
      <c r="BC33" s="1415">
        <v>0.11940000000000001</v>
      </c>
      <c r="BD33" s="1227">
        <f>SQRT(BE33^2+BF33^2)*1000/(1.73*BE$12)</f>
        <v>110.26409395870499</v>
      </c>
      <c r="BE33" s="1254">
        <v>1.9830000000000001</v>
      </c>
      <c r="BF33" s="1415">
        <v>5.8799999999999998E-2</v>
      </c>
      <c r="BG33" s="1227">
        <f>SQRT(BH33^2+BI33^2)*1000/(1.73*BH$12)</f>
        <v>111.27264353722578</v>
      </c>
      <c r="BH33" s="1254">
        <v>1.9998</v>
      </c>
      <c r="BI33" s="1415">
        <v>9.4200000000000006E-2</v>
      </c>
      <c r="BJ33" s="1227">
        <f>SQRT(BK33^2+BL33^2)*1000/(1.73*BK$12)</f>
        <v>111.11905407285391</v>
      </c>
      <c r="BK33" s="1254">
        <v>1.998</v>
      </c>
      <c r="BL33" s="1415">
        <v>7.0800000000000002E-2</v>
      </c>
      <c r="BM33" s="1227">
        <f>SQRT(BN33^2+BO33^2)*1000/(1.73*BN$12)</f>
        <v>111.37757487244612</v>
      </c>
      <c r="BN33" s="1254">
        <v>2.0034000000000001</v>
      </c>
      <c r="BO33" s="1415">
        <v>4.4999999999999998E-2</v>
      </c>
      <c r="BP33" s="1227">
        <f>SQRT(BQ33^2+BR33^2)*1000/(1.73*BQ$12)</f>
        <v>111.32787867824089</v>
      </c>
      <c r="BQ33" s="1254">
        <v>2.0022000000000002</v>
      </c>
      <c r="BR33" s="1415">
        <v>5.7000000000000002E-2</v>
      </c>
      <c r="BS33" s="1227">
        <f>SQRT(BT33^2+BU33^2)*1000/(1.73*BT$12)</f>
        <v>106.86210521295089</v>
      </c>
      <c r="BT33" s="1254">
        <v>1.9218</v>
      </c>
      <c r="BU33" s="1415">
        <v>5.7599999999999998E-2</v>
      </c>
      <c r="BV33" s="1227">
        <f>SQRT(BW33^2+BX33^2)*1000/(1.73*BW$12)</f>
        <v>106.3569327350465</v>
      </c>
      <c r="BW33" s="1254">
        <v>1.9134</v>
      </c>
      <c r="BX33" s="1415">
        <v>2.58E-2</v>
      </c>
      <c r="BY33" s="1227">
        <f>SQRT(BZ33^2+CA33^2)*1000/(1.73*BZ$12)</f>
        <v>103.64608637729803</v>
      </c>
      <c r="BZ33" s="1254">
        <v>1.8648</v>
      </c>
      <c r="CA33" s="1415">
        <v>-1.1999999999999999E-3</v>
      </c>
    </row>
    <row r="34" spans="1:81" x14ac:dyDescent="0.2">
      <c r="A34" s="1133">
        <v>6</v>
      </c>
      <c r="B34" s="1413" t="s">
        <v>314</v>
      </c>
      <c r="C34" s="1233"/>
      <c r="D34" s="1234"/>
      <c r="E34" s="1235"/>
      <c r="F34" s="1236"/>
      <c r="G34" s="1237"/>
      <c r="H34" s="1227">
        <f>SQRT(I34^2+J34^2)*1000/(1.73*I$18)</f>
        <v>121.16012917615116</v>
      </c>
      <c r="I34" s="1254">
        <v>2.1798000000000002</v>
      </c>
      <c r="J34" s="1415">
        <v>-2.2200000000000001E-2</v>
      </c>
      <c r="K34" s="1227">
        <f>SQRT(L34^2+M34^2)*1000/(1.73*L$18)</f>
        <v>116.27125755886883</v>
      </c>
      <c r="L34" s="1254">
        <v>2.0916000000000001</v>
      </c>
      <c r="M34" s="1415">
        <v>-3.8399999999999997E-2</v>
      </c>
      <c r="N34" s="1227">
        <f>SQRT(O34^2+P34^2)*1000/(1.73*O$18)</f>
        <v>114.70543690845166</v>
      </c>
      <c r="O34" s="1254">
        <v>2.0628000000000002</v>
      </c>
      <c r="P34" s="1415">
        <v>-6.3600000000000004E-2</v>
      </c>
      <c r="Q34" s="1227">
        <f>SQRT(R34^2+S34^2)*1000/(1.73*R$18)</f>
        <v>113.50140363629136</v>
      </c>
      <c r="R34" s="1254">
        <v>2.0411999999999999</v>
      </c>
      <c r="S34" s="1415">
        <v>-6.1199999999999997E-2</v>
      </c>
      <c r="T34" s="1227">
        <f>SQRT(U34^2+V34^2)*1000/(1.73*U$18)</f>
        <v>113.06908124822841</v>
      </c>
      <c r="U34" s="1254">
        <v>2.0333999999999999</v>
      </c>
      <c r="V34" s="1415">
        <v>-6.1800000000000001E-2</v>
      </c>
      <c r="W34" s="1227">
        <f>SQRT(X34^2+Y34^2)*1000/(1.73*X$18)</f>
        <v>115.12070894912291</v>
      </c>
      <c r="X34" s="1254">
        <v>2.0699999999999998</v>
      </c>
      <c r="Y34" s="1415">
        <v>-7.1999999999999995E-2</v>
      </c>
      <c r="Z34" s="1227">
        <f>SQRT(AA34^2+AB34^2)*1000/(1.73*AA$18)</f>
        <v>123.21761853678365</v>
      </c>
      <c r="AA34" s="1254">
        <v>2.2151999999999998</v>
      </c>
      <c r="AB34" s="1415">
        <v>-8.7599999999999997E-2</v>
      </c>
      <c r="AC34" s="1227">
        <f>SQRT(AD34^2+AE34^2)*1000/(1.73*AD$18)</f>
        <v>131.61769339893081</v>
      </c>
      <c r="AD34" s="1254">
        <v>2.3664000000000001</v>
      </c>
      <c r="AE34" s="1415">
        <v>-8.8800000000000004E-2</v>
      </c>
      <c r="AF34" s="1227">
        <f>SQRT(AG34^2+AH34^2)*1000/(1.73*AG$18)</f>
        <v>137.44295420365577</v>
      </c>
      <c r="AG34" s="1254">
        <v>2.4695999999999998</v>
      </c>
      <c r="AH34" s="1415">
        <v>0.12720000000000001</v>
      </c>
      <c r="AI34" s="1227">
        <f>SQRT(AJ34^2+AK34^2)*1000/(1.73*AJ$18)</f>
        <v>140.00089172437461</v>
      </c>
      <c r="AJ34" s="1254">
        <v>2.5091999999999999</v>
      </c>
      <c r="AK34" s="1415">
        <v>0.2208</v>
      </c>
      <c r="AL34" s="1227">
        <f>SQRT(AM34^2+AN34^2)*1000/(1.73*AM$18)</f>
        <v>138.30003663439965</v>
      </c>
      <c r="AM34" s="1254">
        <v>2.4815999999999998</v>
      </c>
      <c r="AN34" s="1415">
        <v>0.18240000000000001</v>
      </c>
      <c r="AO34" s="1227">
        <f>SQRT(AP34^2+AQ34^2)*1000/(1.73*AP$18)</f>
        <v>135.39779988467055</v>
      </c>
      <c r="AP34" s="1254">
        <v>2.4323999999999999</v>
      </c>
      <c r="AQ34" s="1415">
        <v>0.1338</v>
      </c>
      <c r="AR34" s="1227">
        <f>SQRT(AS34^2+AT34^2)*1000/(1.73*AS$18)</f>
        <v>134.6145676611381</v>
      </c>
      <c r="AS34" s="1254">
        <v>2.4216000000000002</v>
      </c>
      <c r="AT34" s="1415">
        <v>4.3200000000000002E-2</v>
      </c>
      <c r="AU34" s="1227">
        <f>SQRT(AV34^2+AW34^2)*1000/(1.73*AV$18)</f>
        <v>133.91318915103093</v>
      </c>
      <c r="AV34" s="1254">
        <v>2.4089999999999998</v>
      </c>
      <c r="AW34" s="1415">
        <v>4.2000000000000003E-2</v>
      </c>
      <c r="AX34" s="1227">
        <f>SQRT(AY34^2+AZ34^2)*1000/(1.73*AY$18)</f>
        <v>135.51420185679274</v>
      </c>
      <c r="AY34" s="1254">
        <v>2.4306000000000001</v>
      </c>
      <c r="AZ34" s="1415">
        <v>0.192</v>
      </c>
      <c r="BA34" s="1227">
        <f>SQRT(BB34^2+BC34^2)*1000/(1.73*BB$18)</f>
        <v>137.12571858342989</v>
      </c>
      <c r="BB34" s="1254">
        <v>2.4636</v>
      </c>
      <c r="BC34" s="1415">
        <v>0.1326</v>
      </c>
      <c r="BD34" s="1227">
        <f>SQRT(BE34^2+BF34^2)*1000/(1.73*BE$18)</f>
        <v>140.50122564149635</v>
      </c>
      <c r="BE34" s="1254">
        <v>2.5266000000000002</v>
      </c>
      <c r="BF34" s="1415">
        <v>8.1000000000000003E-2</v>
      </c>
      <c r="BG34" s="1227">
        <f>SQRT(BH34^2+BI34^2)*1000/(1.73*BH$18)</f>
        <v>140.71809385856892</v>
      </c>
      <c r="BH34" s="1254">
        <v>2.5314000000000001</v>
      </c>
      <c r="BI34" s="1415">
        <v>4.4999999999999998E-2</v>
      </c>
      <c r="BJ34" s="1227">
        <f>SQRT(BK34^2+BL34^2)*1000/(1.73*BK$18)</f>
        <v>138.79707520792218</v>
      </c>
      <c r="BK34" s="1254">
        <v>2.4965999999999999</v>
      </c>
      <c r="BL34" s="1415">
        <v>-5.6399999999999999E-2</v>
      </c>
      <c r="BM34" s="1227">
        <f>SQRT(BN34^2+BO34^2)*1000/(1.73*BN$18)</f>
        <v>138.87950246355391</v>
      </c>
      <c r="BN34" s="1254">
        <v>2.4977999999999998</v>
      </c>
      <c r="BO34" s="1415">
        <v>-6.7799999999999999E-2</v>
      </c>
      <c r="BP34" s="1227">
        <f>SQRT(BQ34^2+BR34^2)*1000/(1.73*BQ$18)</f>
        <v>136.31538677432721</v>
      </c>
      <c r="BQ34" s="1254">
        <v>2.4510000000000001</v>
      </c>
      <c r="BR34" s="1415">
        <v>-8.8200000000000001E-2</v>
      </c>
      <c r="BS34" s="1227">
        <f>SQRT(BT34^2+BU34^2)*1000/(1.73*BT$18)</f>
        <v>134.92853388547195</v>
      </c>
      <c r="BT34" s="1254">
        <v>2.4264000000000001</v>
      </c>
      <c r="BU34" s="1415">
        <v>-7.7399999999999997E-2</v>
      </c>
      <c r="BV34" s="1227">
        <f>SQRT(BW34^2+BX34^2)*1000/(1.73*BW$18)</f>
        <v>130.13569938714798</v>
      </c>
      <c r="BW34" s="1254">
        <v>2.34</v>
      </c>
      <c r="BX34" s="1415">
        <v>-8.1000000000000003E-2</v>
      </c>
      <c r="BY34" s="1227">
        <f>SQRT(BZ34^2+CA34^2)*1000/(1.73*BZ$18)</f>
        <v>126.10687499077882</v>
      </c>
      <c r="BZ34" s="1254">
        <v>2.2686000000000002</v>
      </c>
      <c r="CA34" s="1415">
        <v>-3.78E-2</v>
      </c>
    </row>
    <row r="35" spans="1:81" x14ac:dyDescent="0.2">
      <c r="A35" s="1133">
        <v>7</v>
      </c>
      <c r="B35" s="1413" t="s">
        <v>315</v>
      </c>
      <c r="C35" s="1233"/>
      <c r="D35" s="1234"/>
      <c r="E35" s="1235"/>
      <c r="F35" s="1236"/>
      <c r="G35" s="1237"/>
      <c r="H35" s="1227">
        <f>SQRT(I35^2+J35^2)*1000/(1.73*I$12)</f>
        <v>60.291529078587381</v>
      </c>
      <c r="I35" s="1246">
        <v>1.0744</v>
      </c>
      <c r="J35" s="1414">
        <v>0.14960000000000001</v>
      </c>
      <c r="K35" s="1227">
        <f>SQRT(L35^2+M35^2)*1000/(1.73*L$12)</f>
        <v>55.60645003124764</v>
      </c>
      <c r="L35" s="1246">
        <v>0.99039999999999995</v>
      </c>
      <c r="M35" s="1414">
        <v>0.1416</v>
      </c>
      <c r="N35" s="1227">
        <f>SQRT(O35^2+P35^2)*1000/(1.73*O$12)</f>
        <v>54.110308434346649</v>
      </c>
      <c r="O35" s="1246">
        <v>0.96319999999999995</v>
      </c>
      <c r="P35" s="1414">
        <v>0.1416</v>
      </c>
      <c r="Q35" s="1227">
        <f>SQRT(R35^2+S35^2)*1000/(1.73*R$12)</f>
        <v>52.217299402883107</v>
      </c>
      <c r="R35" s="1246">
        <v>0.9304</v>
      </c>
      <c r="S35" s="1414">
        <v>0.13039999999999999</v>
      </c>
      <c r="T35" s="1227">
        <f>SQRT(U35^2+V35^2)*1000/(1.73*U$12)</f>
        <v>51.406180224211326</v>
      </c>
      <c r="U35" s="1246">
        <v>0.91600000000000004</v>
      </c>
      <c r="V35" s="1414">
        <v>0.128</v>
      </c>
      <c r="W35" s="1227">
        <f>SQRT(X35^2+Y35^2)*1000/(1.73*X$12)</f>
        <v>52.413191053900064</v>
      </c>
      <c r="X35" s="1246">
        <v>0.93440000000000001</v>
      </c>
      <c r="Y35" s="1414">
        <v>0.12720000000000001</v>
      </c>
      <c r="Z35" s="1227">
        <f>SQRT(AA35^2+AB35^2)*1000/(1.73*AA$12)</f>
        <v>58.708329581956988</v>
      </c>
      <c r="AA35" s="1246">
        <v>1.048</v>
      </c>
      <c r="AB35" s="1414">
        <v>0.13200000000000001</v>
      </c>
      <c r="AC35" s="1227">
        <f>SQRT(AD35^2+AE35^2)*1000/(1.73*AD$12)</f>
        <v>67.240965676698451</v>
      </c>
      <c r="AD35" s="1246">
        <v>1.2023999999999999</v>
      </c>
      <c r="AE35" s="1414">
        <v>0.1336</v>
      </c>
      <c r="AF35" s="1227">
        <f>SQRT(AG35^2+AH35^2)*1000/(1.73*AG$12)</f>
        <v>76.256463837352214</v>
      </c>
      <c r="AG35" s="1246">
        <v>1.3632</v>
      </c>
      <c r="AH35" s="1414">
        <v>0.1552</v>
      </c>
      <c r="AI35" s="1227">
        <f>SQRT(AJ35^2+AK35^2)*1000/(1.73*AJ$12)</f>
        <v>77.798004138271367</v>
      </c>
      <c r="AJ35" s="1246">
        <v>1.3912</v>
      </c>
      <c r="AK35" s="1414">
        <v>0.15440000000000001</v>
      </c>
      <c r="AL35" s="1227">
        <f>SQRT(AM35^2+AN35^2)*1000/(1.73*AM$12)</f>
        <v>79.905642771679695</v>
      </c>
      <c r="AM35" s="1246">
        <v>1.4279999999999999</v>
      </c>
      <c r="AN35" s="1414">
        <v>0.16639999999999999</v>
      </c>
      <c r="AO35" s="1227">
        <f>SQRT(AP35^2+AQ35^2)*1000/(1.73*AP$12)</f>
        <v>80.406936958306645</v>
      </c>
      <c r="AP35" s="1246">
        <v>1.4368000000000001</v>
      </c>
      <c r="AQ35" s="1414">
        <v>0.16880000000000001</v>
      </c>
      <c r="AR35" s="1227">
        <f>SQRT(AS35^2+AT35^2)*1000/(1.73*AS$12)</f>
        <v>78.628119284855075</v>
      </c>
      <c r="AS35" s="1246">
        <v>1.4056</v>
      </c>
      <c r="AT35" s="1414">
        <v>0.16</v>
      </c>
      <c r="AU35" s="1227">
        <f>SQRT(AV35^2+AW35^2)*1000/(1.73*AV$12)</f>
        <v>77.97968416568412</v>
      </c>
      <c r="AV35" s="1246">
        <v>1.3944000000000001</v>
      </c>
      <c r="AW35" s="1414">
        <v>0.1552</v>
      </c>
      <c r="AX35" s="1227">
        <f>SQRT(AY35^2+AZ35^2)*1000/(1.73*AY$12)</f>
        <v>75.873187998332568</v>
      </c>
      <c r="AY35" s="1246">
        <v>1.3568</v>
      </c>
      <c r="AZ35" s="1414">
        <v>0.15040000000000001</v>
      </c>
      <c r="BA35" s="1227">
        <f>SQRT(BB35^2+BC35^2)*1000/(1.73*BB$12)</f>
        <v>79.978661650329897</v>
      </c>
      <c r="BB35" s="1246">
        <v>1.4296</v>
      </c>
      <c r="BC35" s="1414">
        <v>0.16400000000000001</v>
      </c>
      <c r="BD35" s="1227">
        <f>SQRT(BE35^2+BF35^2)*1000/(1.73*BE$12)</f>
        <v>84.367946237436541</v>
      </c>
      <c r="BE35" s="1246">
        <v>1.5087999999999999</v>
      </c>
      <c r="BF35" s="1414">
        <v>0.16639999999999999</v>
      </c>
      <c r="BG35" s="1227">
        <f>SQRT(BH35^2+BI35^2)*1000/(1.73*BH$12)</f>
        <v>83.852431819348695</v>
      </c>
      <c r="BH35" s="1246">
        <v>1.4992000000000001</v>
      </c>
      <c r="BI35" s="1414">
        <v>0.16880000000000001</v>
      </c>
      <c r="BJ35" s="1227">
        <f>SQRT(BK35^2+BL35^2)*1000/(1.73*BK$12)</f>
        <v>82.664125738991729</v>
      </c>
      <c r="BK35" s="1246">
        <v>1.4783999999999999</v>
      </c>
      <c r="BL35" s="1414">
        <v>0.16239999999999999</v>
      </c>
      <c r="BM35" s="1227">
        <f>SQRT(BN35^2+BO35^2)*1000/(1.73*BN$12)</f>
        <v>83.420361485481365</v>
      </c>
      <c r="BN35" s="1246">
        <v>1.492</v>
      </c>
      <c r="BO35" s="1414">
        <v>0.16320000000000001</v>
      </c>
      <c r="BP35" s="1227">
        <f>SQRT(BQ35^2+BR35^2)*1000/(1.73*BQ$12)</f>
        <v>82.428591866674665</v>
      </c>
      <c r="BQ35" s="1246">
        <v>1.4736</v>
      </c>
      <c r="BR35" s="1414">
        <v>0.16719999999999999</v>
      </c>
      <c r="BS35" s="1227">
        <f>SQRT(BT35^2+BU35^2)*1000/(1.73*BT$12)</f>
        <v>80.758187396552799</v>
      </c>
      <c r="BT35" s="1246">
        <v>1.4423999999999999</v>
      </c>
      <c r="BU35" s="1414">
        <v>0.17519999999999999</v>
      </c>
      <c r="BV35" s="1227">
        <f>SQRT(BW35^2+BX35^2)*1000/(1.73*BW$12)</f>
        <v>76.137017498724887</v>
      </c>
      <c r="BW35" s="1246">
        <v>1.3584000000000001</v>
      </c>
      <c r="BX35" s="1414">
        <v>0.17680000000000001</v>
      </c>
      <c r="BY35" s="1227">
        <f>SQRT(BZ35^2+CA35^2)*1000/(1.73*BZ$12)</f>
        <v>70.189985465036514</v>
      </c>
      <c r="BZ35" s="1246">
        <v>1.2512000000000001</v>
      </c>
      <c r="CA35" s="1414">
        <v>0.17119999999999999</v>
      </c>
    </row>
    <row r="36" spans="1:81" x14ac:dyDescent="0.2">
      <c r="A36" s="1133">
        <v>8</v>
      </c>
      <c r="B36" s="1241" t="s">
        <v>316</v>
      </c>
      <c r="C36" s="1233"/>
      <c r="D36" s="1234"/>
      <c r="E36" s="1235"/>
      <c r="F36" s="1236"/>
      <c r="G36" s="1237"/>
      <c r="H36" s="1227">
        <f>SQRT(I36^2+J36^2)*1000/(1.73*I$18)</f>
        <v>22.23228101307248</v>
      </c>
      <c r="I36" s="1254">
        <v>0.4</v>
      </c>
      <c r="J36" s="1415">
        <v>-1.6000000000000001E-3</v>
      </c>
      <c r="K36" s="1227">
        <f>SQRT(L36^2+M36^2)*1000/(1.73*L$18)</f>
        <v>22.030208216780849</v>
      </c>
      <c r="L36" s="1254">
        <v>0.3952</v>
      </c>
      <c r="M36" s="1415">
        <v>-3.04E-2</v>
      </c>
      <c r="N36" s="1227">
        <f>SQRT(O36^2+P36^2)*1000/(1.73*O$18)</f>
        <v>23.475795603524702</v>
      </c>
      <c r="O36" s="1254">
        <v>0.42159999999999997</v>
      </c>
      <c r="P36" s="1415">
        <v>2.5600000000000001E-2</v>
      </c>
      <c r="Q36" s="1227">
        <f>SQRT(R36^2+S36^2)*1000/(1.73*R$18)</f>
        <v>22.975090402275427</v>
      </c>
      <c r="R36" s="1254">
        <v>0.41199999999999998</v>
      </c>
      <c r="S36" s="1415">
        <v>3.3599999999999998E-2</v>
      </c>
      <c r="T36" s="1227">
        <f>SQRT(U36^2+V36^2)*1000/(1.73*U$18)</f>
        <v>22.857283581417757</v>
      </c>
      <c r="U36" s="1254">
        <v>0.41039999999999999</v>
      </c>
      <c r="V36" s="1415">
        <v>2.64E-2</v>
      </c>
      <c r="W36" s="1227">
        <f>SQRT(X36^2+Y36^2)*1000/(1.73*X$18)</f>
        <v>24.217690291055973</v>
      </c>
      <c r="X36" s="1254">
        <v>0.43280000000000002</v>
      </c>
      <c r="Y36" s="1415">
        <v>5.04E-2</v>
      </c>
      <c r="Z36" s="1227">
        <f>SQRT(AA36^2+AB36^2)*1000/(1.73*AA$18)</f>
        <v>22.681104037095327</v>
      </c>
      <c r="AA36" s="1254">
        <v>0.40799999999999997</v>
      </c>
      <c r="AB36" s="1415">
        <v>-8.0000000000000002E-3</v>
      </c>
      <c r="AC36" s="1227">
        <f>SQRT(AD36^2+AE36^2)*1000/(1.73*AD$18)</f>
        <v>22.954945268323886</v>
      </c>
      <c r="AD36" s="1254">
        <v>0.41199999999999998</v>
      </c>
      <c r="AE36" s="1415">
        <v>-2.8799999999999999E-2</v>
      </c>
      <c r="AF36" s="1227">
        <f>SQRT(AG36^2+AH36^2)*1000/(1.73*AG$18)</f>
        <v>29.801767337993645</v>
      </c>
      <c r="AG36" s="1254">
        <v>0.53600000000000003</v>
      </c>
      <c r="AH36" s="1415">
        <v>1.44E-2</v>
      </c>
      <c r="AI36" s="1227">
        <f>SQRT(AJ36^2+AK36^2)*1000/(1.73*AJ$18)</f>
        <v>30.058625650127464</v>
      </c>
      <c r="AJ36" s="1254">
        <v>0.54079999999999995</v>
      </c>
      <c r="AK36" s="1415">
        <v>4.0000000000000001E-3</v>
      </c>
      <c r="AL36" s="1227">
        <f>SQRT(AM36^2+AN36^2)*1000/(1.73*AM$18)</f>
        <v>29.302215584379489</v>
      </c>
      <c r="AM36" s="1254">
        <v>0.5272</v>
      </c>
      <c r="AN36" s="1415">
        <v>2.3999999999999998E-3</v>
      </c>
      <c r="AO36" s="1227">
        <f>SQRT(AP36^2+AQ36^2)*1000/(1.73*AP$18)</f>
        <v>28.769200517996016</v>
      </c>
      <c r="AP36" s="1254">
        <v>0.51759999999999995</v>
      </c>
      <c r="AQ36" s="1415">
        <v>-4.0000000000000001E-3</v>
      </c>
      <c r="AR36" s="1227">
        <f>SQRT(AS36^2+AT36^2)*1000/(1.73*AS$18)</f>
        <v>27.118354543417936</v>
      </c>
      <c r="AS36" s="1254">
        <v>0.4864</v>
      </c>
      <c r="AT36" s="1415">
        <v>-3.8399999999999997E-2</v>
      </c>
      <c r="AU36" s="1227">
        <f>SQRT(AV36^2+AW36^2)*1000/(1.73*AV$18)</f>
        <v>27.969258168128171</v>
      </c>
      <c r="AV36" s="1254">
        <v>0.50319999999999998</v>
      </c>
      <c r="AW36" s="1415">
        <v>-4.7999999999999996E-3</v>
      </c>
      <c r="AX36" s="1227">
        <f>SQRT(AY36^2+AZ36^2)*1000/(1.73*AY$18)</f>
        <v>28.642715240309496</v>
      </c>
      <c r="AY36" s="1254">
        <v>0.51519999999999999</v>
      </c>
      <c r="AZ36" s="1415">
        <v>1.2E-2</v>
      </c>
      <c r="BA36" s="1227">
        <f>SQRT(BB36^2+BC36^2)*1000/(1.73*BB$18)</f>
        <v>30.735189109782716</v>
      </c>
      <c r="BB36" s="1254">
        <v>0.55279999999999996</v>
      </c>
      <c r="BC36" s="1415">
        <v>1.44E-2</v>
      </c>
      <c r="BD36" s="1227">
        <f>SQRT(BE36^2+BF36^2)*1000/(1.73*BE$18)</f>
        <v>32.484473112981782</v>
      </c>
      <c r="BE36" s="1254">
        <v>0.58399999999999996</v>
      </c>
      <c r="BF36" s="1415">
        <v>2.3199999999999998E-2</v>
      </c>
      <c r="BG36" s="1227">
        <f>SQRT(BH36^2+BI36^2)*1000/(1.73*BH$18)</f>
        <v>31.568020802989285</v>
      </c>
      <c r="BH36" s="1254">
        <v>0.56720000000000004</v>
      </c>
      <c r="BI36" s="1415">
        <v>2.9600000000000001E-2</v>
      </c>
      <c r="BJ36" s="1227">
        <f>SQRT(BK36^2+BL36^2)*1000/(1.73*BK$18)</f>
        <v>27.836333310664209</v>
      </c>
      <c r="BK36" s="1254">
        <v>0.50080000000000002</v>
      </c>
      <c r="BL36" s="1415">
        <v>5.5999999999999999E-3</v>
      </c>
      <c r="BM36" s="1227">
        <f>SQRT(BN36^2+BO36^2)*1000/(1.73*BN$18)</f>
        <v>25.260404806552398</v>
      </c>
      <c r="BN36" s="1254">
        <v>0.45440000000000003</v>
      </c>
      <c r="BO36" s="1415">
        <v>-8.8000000000000005E-3</v>
      </c>
      <c r="BP36" s="1227">
        <f>SQRT(BQ36^2+BR36^2)*1000/(1.73*BQ$18)</f>
        <v>26.056973351258218</v>
      </c>
      <c r="BQ36" s="1254">
        <v>0.46879999999999999</v>
      </c>
      <c r="BR36" s="1415">
        <v>4.0000000000000001E-3</v>
      </c>
      <c r="BS36" s="1227">
        <f>SQRT(BT36^2+BU36^2)*1000/(1.73*BT$18)</f>
        <v>26.900073116014184</v>
      </c>
      <c r="BT36" s="1254">
        <v>0.48159999999999997</v>
      </c>
      <c r="BU36" s="1415">
        <v>4.8000000000000001E-2</v>
      </c>
      <c r="BV36" s="1227">
        <f>SQRT(BW36^2+BX36^2)*1000/(1.73*BW$18)</f>
        <v>25.214812047332337</v>
      </c>
      <c r="BW36" s="1254">
        <v>0.45279999999999998</v>
      </c>
      <c r="BX36" s="1415">
        <v>2.8000000000000001E-2</v>
      </c>
      <c r="BY36" s="1227">
        <f>SQRT(BZ36^2+CA36^2)*1000/(1.73*BZ$18)</f>
        <v>23.867671926972054</v>
      </c>
      <c r="BZ36" s="1254">
        <v>0.42880000000000001</v>
      </c>
      <c r="CA36" s="1415">
        <v>2.3199999999999998E-2</v>
      </c>
    </row>
    <row r="37" spans="1:81" x14ac:dyDescent="0.2">
      <c r="A37" s="1133">
        <v>9</v>
      </c>
      <c r="B37" s="1241" t="s">
        <v>317</v>
      </c>
      <c r="C37" s="1233"/>
      <c r="D37" s="1234"/>
      <c r="E37" s="1235"/>
      <c r="F37" s="1236"/>
      <c r="G37" s="1237"/>
      <c r="H37" s="1227">
        <f>SQRT(I37^2+J37^2)*1000/(1.73*I$12)</f>
        <v>1.5288511557985054</v>
      </c>
      <c r="I37" s="1254">
        <v>1.7999999999999999E-2</v>
      </c>
      <c r="J37" s="1415">
        <v>-2.0799999999999999E-2</v>
      </c>
      <c r="K37" s="1227">
        <f>SQRT(L37^2+M37^2)*1000/(1.73*L$12)</f>
        <v>1.5121099220215162</v>
      </c>
      <c r="L37" s="1254">
        <v>1.7999999999999999E-2</v>
      </c>
      <c r="M37" s="1415">
        <v>-2.0400000000000001E-2</v>
      </c>
      <c r="N37" s="1227">
        <f>SQRT(O37^2+P37^2)*1000/(1.73*O$12)</f>
        <v>1.5288511557985054</v>
      </c>
      <c r="O37" s="1254">
        <v>1.7999999999999999E-2</v>
      </c>
      <c r="P37" s="1415">
        <v>-2.0799999999999999E-2</v>
      </c>
      <c r="Q37" s="1227">
        <f>SQRT(R37^2+S37^2)*1000/(1.73*R$12)</f>
        <v>1.5143962975479237</v>
      </c>
      <c r="R37" s="1254">
        <v>1.7600000000000001E-2</v>
      </c>
      <c r="S37" s="1415">
        <v>-2.0799999999999999E-2</v>
      </c>
      <c r="T37" s="1227">
        <f>SQRT(U37^2+V37^2)*1000/(1.73*U$12)</f>
        <v>1.5314353134099177</v>
      </c>
      <c r="U37" s="1254">
        <v>1.7600000000000001E-2</v>
      </c>
      <c r="V37" s="1415">
        <v>-2.12E-2</v>
      </c>
      <c r="W37" s="1227">
        <f>SQRT(X37^2+Y37^2)*1000/(1.73*X$12)</f>
        <v>1.4974934743485027</v>
      </c>
      <c r="X37" s="1254">
        <v>1.7600000000000001E-2</v>
      </c>
      <c r="Y37" s="1415">
        <v>-2.0400000000000001E-2</v>
      </c>
      <c r="Z37" s="1227">
        <f>SQRT(AA37^2+AB37^2)*1000/(1.73*AA$12)</f>
        <v>1.5121099220215162</v>
      </c>
      <c r="AA37" s="1254">
        <v>1.7999999999999999E-2</v>
      </c>
      <c r="AB37" s="1415">
        <v>-2.0400000000000001E-2</v>
      </c>
      <c r="AC37" s="1227">
        <f>SQRT(AD37^2+AE37^2)*1000/(1.73*AD$12)</f>
        <v>1.5723614682158225</v>
      </c>
      <c r="AD37" s="1254">
        <v>1.9599999999999999E-2</v>
      </c>
      <c r="AE37" s="1415">
        <v>-2.0400000000000001E-2</v>
      </c>
      <c r="AF37" s="1227">
        <f>SQRT(AG37^2+AH37^2)*1000/(1.73*AG$12)</f>
        <v>1.833306191915367</v>
      </c>
      <c r="AG37" s="1254">
        <v>2.5600000000000001E-2</v>
      </c>
      <c r="AH37" s="1415">
        <v>-2.0799999999999999E-2</v>
      </c>
      <c r="AI37" s="1227">
        <f>SQRT(AJ37^2+AK37^2)*1000/(1.73*AJ$12)</f>
        <v>1.7024624027635966</v>
      </c>
      <c r="AJ37" s="1254">
        <v>2.3199999999999998E-2</v>
      </c>
      <c r="AK37" s="1415">
        <v>-0.02</v>
      </c>
      <c r="AL37" s="1227">
        <f>SQRT(AM37^2+AN37^2)*1000/(1.73*AM$12)</f>
        <v>1.5878453833409598</v>
      </c>
      <c r="AM37" s="1254">
        <v>2.0400000000000001E-2</v>
      </c>
      <c r="AN37" s="1415">
        <v>-0.02</v>
      </c>
      <c r="AO37" s="1227">
        <f>SQRT(AP37^2+AQ37^2)*1000/(1.73*AP$12)</f>
        <v>1.5723614682158225</v>
      </c>
      <c r="AP37" s="1254">
        <v>2.0400000000000001E-2</v>
      </c>
      <c r="AQ37" s="1415">
        <v>-1.9599999999999999E-2</v>
      </c>
      <c r="AR37" s="1227">
        <f>SQRT(AS37^2+AT37^2)*1000/(1.73*AS$12)</f>
        <v>1.5878453833409598</v>
      </c>
      <c r="AS37" s="1254">
        <v>2.0400000000000001E-2</v>
      </c>
      <c r="AT37" s="1415">
        <v>-0.02</v>
      </c>
      <c r="AU37" s="1227">
        <f>SQRT(AV37^2+AW37^2)*1000/(1.73*AV$12)</f>
        <v>1.5884678237346599</v>
      </c>
      <c r="AV37" s="1254">
        <v>2.0799999999999999E-2</v>
      </c>
      <c r="AW37" s="1415">
        <v>-1.9599999999999999E-2</v>
      </c>
      <c r="AX37" s="1227">
        <f>SQRT(AY37^2+AZ37^2)*1000/(1.73*AY$12)</f>
        <v>1.5878453833409598</v>
      </c>
      <c r="AY37" s="1254">
        <v>2.0400000000000001E-2</v>
      </c>
      <c r="AZ37" s="1415">
        <v>-0.02</v>
      </c>
      <c r="BA37" s="1227">
        <f>SQRT(BB37^2+BC37^2)*1000/(1.73*BB$12)</f>
        <v>1.6037962469427687</v>
      </c>
      <c r="BB37" s="1254">
        <v>2.0799999999999999E-2</v>
      </c>
      <c r="BC37" s="1415">
        <v>-0.02</v>
      </c>
      <c r="BD37" s="1227">
        <f>SQRT(BE37^2+BF37^2)*1000/(1.73*BE$12)</f>
        <v>1.6352312626441343</v>
      </c>
      <c r="BE37" s="1254">
        <v>2.12E-2</v>
      </c>
      <c r="BF37" s="1415">
        <v>-2.0400000000000001E-2</v>
      </c>
      <c r="BG37" s="1227">
        <f>SQRT(BH37^2+BI37^2)*1000/(1.73*BH$12)</f>
        <v>1.5878453833409598</v>
      </c>
      <c r="BH37" s="1254">
        <v>2.0400000000000001E-2</v>
      </c>
      <c r="BI37" s="1415">
        <v>-0.02</v>
      </c>
      <c r="BJ37" s="1227">
        <f>SQRT(BK37^2+BL37^2)*1000/(1.73*BK$12)</f>
        <v>1.5878453833409598</v>
      </c>
      <c r="BK37" s="1254">
        <v>2.0400000000000001E-2</v>
      </c>
      <c r="BL37" s="1415">
        <v>-0.02</v>
      </c>
      <c r="BM37" s="1227">
        <f>SQRT(BN37^2+BO37^2)*1000/(1.73*BN$12)</f>
        <v>1.5564060136226889</v>
      </c>
      <c r="BN37" s="1254">
        <v>1.9599999999999999E-2</v>
      </c>
      <c r="BO37" s="1415">
        <v>-0.02</v>
      </c>
      <c r="BP37" s="1227">
        <f>SQRT(BQ37^2+BR37^2)*1000/(1.73*BQ$12)</f>
        <v>1.5723614682158225</v>
      </c>
      <c r="BQ37" s="1254">
        <v>1.9599999999999999E-2</v>
      </c>
      <c r="BR37" s="1415">
        <v>-2.0400000000000001E-2</v>
      </c>
      <c r="BS37" s="1227">
        <f>SQRT(BT37^2+BU37^2)*1000/(1.73*BT$12)</f>
        <v>1.5878453833409598</v>
      </c>
      <c r="BT37" s="1254">
        <v>0.02</v>
      </c>
      <c r="BU37" s="1415">
        <v>-2.0400000000000001E-2</v>
      </c>
      <c r="BV37" s="1227">
        <f>SQRT(BW37^2+BX37^2)*1000/(1.73*BW$12)</f>
        <v>1.5878453833409598</v>
      </c>
      <c r="BW37" s="1254">
        <v>2.0400000000000001E-2</v>
      </c>
      <c r="BX37" s="1415">
        <v>-0.02</v>
      </c>
      <c r="BY37" s="1227">
        <f>SQRT(BZ37^2+CA37^2)*1000/(1.73*BZ$12)</f>
        <v>1.5878453833409598</v>
      </c>
      <c r="BZ37" s="1254">
        <v>0.02</v>
      </c>
      <c r="CA37" s="1415">
        <v>-2.0400000000000001E-2</v>
      </c>
    </row>
    <row r="38" spans="1:81" x14ac:dyDescent="0.2">
      <c r="A38" s="1133">
        <v>10</v>
      </c>
      <c r="B38" s="1241" t="s">
        <v>318</v>
      </c>
      <c r="C38" s="1233"/>
      <c r="D38" s="1234"/>
      <c r="E38" s="1235"/>
      <c r="F38" s="1236"/>
      <c r="G38" s="1237"/>
      <c r="H38" s="1227">
        <f>SQRT(I38^2+J38^2)*1000/(1.73*I$18)</f>
        <v>2.4693652443114251</v>
      </c>
      <c r="I38" s="1254">
        <v>1.5599999999999999E-2</v>
      </c>
      <c r="J38" s="1415">
        <v>-4.1599999999999998E-2</v>
      </c>
      <c r="K38" s="1227">
        <f>SQRT(L38^2+M38^2)*1000/(1.73*L$18)</f>
        <v>2.5267447888670085</v>
      </c>
      <c r="L38" s="1254">
        <v>1.6400000000000001E-2</v>
      </c>
      <c r="M38" s="1415">
        <v>-4.24E-2</v>
      </c>
      <c r="N38" s="1227">
        <f>SQRT(O38^2+P38^2)*1000/(1.73*O$18)</f>
        <v>2.5555316639904793</v>
      </c>
      <c r="O38" s="1254">
        <v>1.6799999999999999E-2</v>
      </c>
      <c r="P38" s="1415">
        <v>-4.2799999999999998E-2</v>
      </c>
      <c r="Q38" s="1227">
        <f>SQRT(R38^2+S38^2)*1000/(1.73*R$18)</f>
        <v>2.5348497667833212</v>
      </c>
      <c r="R38" s="1254">
        <v>1.6799999999999999E-2</v>
      </c>
      <c r="S38" s="1415">
        <v>-4.24E-2</v>
      </c>
      <c r="T38" s="1227">
        <f>SQRT(U38^2+V38^2)*1000/(1.73*U$18)</f>
        <v>2.5396224905071541</v>
      </c>
      <c r="U38" s="1254">
        <v>1.6E-2</v>
      </c>
      <c r="V38" s="1415">
        <v>-4.2799999999999998E-2</v>
      </c>
      <c r="W38" s="1227">
        <f>SQRT(X38^2+Y38^2)*1000/(1.73*X$18)</f>
        <v>2.5188099667885364</v>
      </c>
      <c r="X38" s="1254">
        <v>1.6E-2</v>
      </c>
      <c r="Y38" s="1415">
        <v>-4.24E-2</v>
      </c>
      <c r="Z38" s="1227">
        <f>SQRT(AA38^2+AB38^2)*1000/(1.73*AA$18)</f>
        <v>2.4404733659515507</v>
      </c>
      <c r="AA38" s="1254">
        <v>1.72E-2</v>
      </c>
      <c r="AB38" s="1415">
        <v>-4.0399999999999998E-2</v>
      </c>
      <c r="AC38" s="1227">
        <f>SQRT(AD38^2+AE38^2)*1000/(1.73*AD$18)</f>
        <v>2.4492675288046613</v>
      </c>
      <c r="AD38" s="1254">
        <v>1.7600000000000001E-2</v>
      </c>
      <c r="AE38" s="1415">
        <v>-4.0399999999999998E-2</v>
      </c>
      <c r="AF38" s="1227">
        <f>SQRT(AG38^2+AH38^2)*1000/(1.73*AG$18)</f>
        <v>2.6997134094911299</v>
      </c>
      <c r="AG38" s="1254">
        <v>2.4400000000000002E-2</v>
      </c>
      <c r="AH38" s="1415">
        <v>-4.2000000000000003E-2</v>
      </c>
      <c r="AI38" s="1227">
        <f>SQRT(AJ38^2+AK38^2)*1000/(1.73*AJ$18)</f>
        <v>2.7189598573831777</v>
      </c>
      <c r="AJ38" s="1254">
        <v>2.4400000000000002E-2</v>
      </c>
      <c r="AK38" s="1415">
        <v>-4.24E-2</v>
      </c>
      <c r="AL38" s="1227">
        <f>SQRT(AM38^2+AN38^2)*1000/(1.73*AM$18)</f>
        <v>2.7109495129773928</v>
      </c>
      <c r="AM38" s="1254">
        <v>2.4799999999999999E-2</v>
      </c>
      <c r="AN38" s="1415">
        <v>-4.2000000000000003E-2</v>
      </c>
      <c r="AO38" s="1227">
        <f>SQRT(AP38^2+AQ38^2)*1000/(1.73*AP$18)</f>
        <v>2.6456202756780791</v>
      </c>
      <c r="AP38" s="1254">
        <v>2.24E-2</v>
      </c>
      <c r="AQ38" s="1415">
        <v>-4.2000000000000003E-2</v>
      </c>
      <c r="AR38" s="1227">
        <f>SQRT(AS38^2+AT38^2)*1000/(1.73*AS$18)</f>
        <v>2.6155575680204071</v>
      </c>
      <c r="AS38" s="1254">
        <v>2.1999999999999999E-2</v>
      </c>
      <c r="AT38" s="1415">
        <v>-4.1599999999999998E-2</v>
      </c>
      <c r="AU38" s="1227">
        <f>SQRT(AV38^2+AW38^2)*1000/(1.73*AV$18)</f>
        <v>2.6561548801787298</v>
      </c>
      <c r="AV38" s="1254">
        <v>2.2800000000000001E-2</v>
      </c>
      <c r="AW38" s="1415">
        <v>-4.2000000000000003E-2</v>
      </c>
      <c r="AX38" s="1227">
        <f>SQRT(AY38^2+AZ38^2)*1000/(1.73*AY$18)</f>
        <v>2.7079395248706293</v>
      </c>
      <c r="AY38" s="1254">
        <v>2.4E-2</v>
      </c>
      <c r="AZ38" s="1415">
        <v>-4.24E-2</v>
      </c>
      <c r="BA38" s="1227">
        <f>SQRT(BB38^2+BC38^2)*1000/(1.73*BB$18)</f>
        <v>2.6863152453522838</v>
      </c>
      <c r="BB38" s="1254">
        <v>2.3199999999999998E-2</v>
      </c>
      <c r="BC38" s="1415">
        <v>-4.24E-2</v>
      </c>
      <c r="BD38" s="1227">
        <f>SQRT(BE38^2+BF38^2)*1000/(1.73*BE$18)</f>
        <v>2.5552415319154478</v>
      </c>
      <c r="BE38" s="1254">
        <v>2.0400000000000001E-2</v>
      </c>
      <c r="BF38" s="1415">
        <v>-4.1200000000000001E-2</v>
      </c>
      <c r="BG38" s="1227">
        <f>SQRT(BH38^2+BI38^2)*1000/(1.73*BH$18)</f>
        <v>2.4070294695293013</v>
      </c>
      <c r="BH38" s="1254">
        <v>1.5599999999999999E-2</v>
      </c>
      <c r="BI38" s="1415">
        <v>-4.0399999999999998E-2</v>
      </c>
      <c r="BJ38" s="1227">
        <f>SQRT(BK38^2+BL38^2)*1000/(1.73*BK$18)</f>
        <v>2.362886661731689</v>
      </c>
      <c r="BK38" s="1254">
        <v>1.44E-2</v>
      </c>
      <c r="BL38" s="1415">
        <v>-0.04</v>
      </c>
      <c r="BM38" s="1227">
        <f>SQRT(BN38^2+BO38^2)*1000/(1.73*BN$18)</f>
        <v>2.3913724872431934</v>
      </c>
      <c r="BN38" s="1254">
        <v>1.4800000000000001E-2</v>
      </c>
      <c r="BO38" s="1415">
        <v>-4.0399999999999998E-2</v>
      </c>
      <c r="BP38" s="1227">
        <f>SQRT(BQ38^2+BR38^2)*1000/(1.73*BQ$18)</f>
        <v>2.4070294695293013</v>
      </c>
      <c r="BQ38" s="1254">
        <v>1.5599999999999999E-2</v>
      </c>
      <c r="BR38" s="1415">
        <v>-4.0399999999999998E-2</v>
      </c>
      <c r="BS38" s="1227">
        <f>SQRT(BT38^2+BU38^2)*1000/(1.73*BT$18)</f>
        <v>2.399110742244368</v>
      </c>
      <c r="BT38" s="1254">
        <v>1.52E-2</v>
      </c>
      <c r="BU38" s="1415">
        <v>-4.0399999999999998E-2</v>
      </c>
      <c r="BV38" s="1227">
        <f>SQRT(BW38^2+BX38^2)*1000/(1.73*BW$18)</f>
        <v>2.4331714013489907</v>
      </c>
      <c r="BW38" s="1254">
        <v>1.4800000000000001E-2</v>
      </c>
      <c r="BX38" s="1415">
        <v>-4.1200000000000001E-2</v>
      </c>
      <c r="BY38" s="1227">
        <f>SQRT(BZ38^2+CA38^2)*1000/(1.73*BZ$18)</f>
        <v>2.418501334543782</v>
      </c>
      <c r="BZ38" s="1254">
        <v>1.4E-2</v>
      </c>
      <c r="CA38" s="1415">
        <v>-4.1200000000000001E-2</v>
      </c>
    </row>
    <row r="39" spans="1:81" x14ac:dyDescent="0.2">
      <c r="A39" s="1250">
        <v>11</v>
      </c>
      <c r="B39" s="1243" t="s">
        <v>319</v>
      </c>
      <c r="C39" s="1222"/>
      <c r="D39" s="1416"/>
      <c r="E39" s="1417"/>
      <c r="F39" s="1223"/>
      <c r="G39" s="1418"/>
      <c r="H39" s="1227">
        <f>SQRT(I39^2+J39^2)*1000/(1.73*I$12)</f>
        <v>49.751378760518982</v>
      </c>
      <c r="I39" s="1254">
        <v>0.86399999999999999</v>
      </c>
      <c r="J39" s="1415">
        <v>-0.23400000000000001</v>
      </c>
      <c r="K39" s="1227">
        <f>SQRT(L39^2+M39^2)*1000/(1.73*L$12)</f>
        <v>46.183233292918011</v>
      </c>
      <c r="L39" s="1254">
        <v>0.79800000000000004</v>
      </c>
      <c r="M39" s="1415">
        <v>-0.2316</v>
      </c>
      <c r="N39" s="1227">
        <f>SQRT(O39^2+P39^2)*1000/(1.73*O$12)</f>
        <v>44.418189839044366</v>
      </c>
      <c r="O39" s="1254">
        <v>0.76559999999999995</v>
      </c>
      <c r="P39" s="1415">
        <v>-0.22919999999999999</v>
      </c>
      <c r="Q39" s="1227">
        <f>SQRT(R39^2+S39^2)*1000/(1.73*R$12)</f>
        <v>43.480316034453274</v>
      </c>
      <c r="R39" s="1254">
        <v>0.74760000000000004</v>
      </c>
      <c r="S39" s="1415">
        <v>-0.23039999999999999</v>
      </c>
      <c r="T39" s="1227">
        <f>SQRT(U39^2+V39^2)*1000/(1.73*U$12)</f>
        <v>43.141996226737923</v>
      </c>
      <c r="U39" s="1254">
        <v>0.74160000000000004</v>
      </c>
      <c r="V39" s="1415">
        <v>-0.22919999999999999</v>
      </c>
      <c r="W39" s="1227">
        <f>SQRT(X39^2+Y39^2)*1000/(1.73*X$12)</f>
        <v>45.550991517355037</v>
      </c>
      <c r="X39" s="1254">
        <v>0.78720000000000001</v>
      </c>
      <c r="Y39" s="1415">
        <v>-0.22800000000000001</v>
      </c>
      <c r="Z39" s="1227">
        <f>SQRT(AA39^2+AB39^2)*1000/(1.73*AA$12)</f>
        <v>52.540438472399046</v>
      </c>
      <c r="AA39" s="1254">
        <v>0.91679999999999995</v>
      </c>
      <c r="AB39" s="1415">
        <v>-0.23039999999999999</v>
      </c>
      <c r="AC39" s="1227">
        <f>SQRT(AD39^2+AE39^2)*1000/(1.73*AD$12)</f>
        <v>59.99413672535205</v>
      </c>
      <c r="AD39" s="1254">
        <v>1.0548</v>
      </c>
      <c r="AE39" s="1415">
        <v>-0.22919999999999999</v>
      </c>
      <c r="AF39" s="1227">
        <f>SQRT(AG39^2+AH39^2)*1000/(1.73*AG$12)</f>
        <v>57.140172860152141</v>
      </c>
      <c r="AG39" s="1254">
        <v>1.0007999999999999</v>
      </c>
      <c r="AH39" s="1415">
        <v>-0.23519999999999999</v>
      </c>
      <c r="AI39" s="1227">
        <f>SQRT(AJ39^2+AK39^2)*1000/(1.73*AJ$12)</f>
        <v>53.383094465035981</v>
      </c>
      <c r="AJ39" s="1254">
        <v>0.93</v>
      </c>
      <c r="AK39" s="1415">
        <v>-0.24</v>
      </c>
      <c r="AL39" s="1227">
        <f>SQRT(AM39^2+AN39^2)*1000/(1.73*AM$12)</f>
        <v>52.96106957282462</v>
      </c>
      <c r="AM39" s="1254">
        <v>0.92400000000000004</v>
      </c>
      <c r="AN39" s="1415">
        <v>-0.23280000000000001</v>
      </c>
      <c r="AO39" s="1227">
        <f>SQRT(AP39^2+AQ39^2)*1000/(1.73*AP$12)</f>
        <v>54.627249799826835</v>
      </c>
      <c r="AP39" s="1254">
        <v>0.95399999999999996</v>
      </c>
      <c r="AQ39" s="1415">
        <v>-0.2364</v>
      </c>
      <c r="AR39" s="1227">
        <f>SQRT(AS39^2+AT39^2)*1000/(1.73*AS$12)</f>
        <v>56.479843120620274</v>
      </c>
      <c r="AS39" s="1254">
        <v>0.99</v>
      </c>
      <c r="AT39" s="1415">
        <v>-0.22919999999999999</v>
      </c>
      <c r="AU39" s="1227">
        <f>SQRT(AV39^2+AW39^2)*1000/(1.73*AV$12)</f>
        <v>55.215400935307152</v>
      </c>
      <c r="AV39" s="1254">
        <v>0.96719999999999995</v>
      </c>
      <c r="AW39" s="1415">
        <v>-0.2268</v>
      </c>
      <c r="AX39" s="1227">
        <f>SQRT(AY39^2+AZ39^2)*1000/(1.73*AY$12)</f>
        <v>54.984058901148899</v>
      </c>
      <c r="AY39" s="1254">
        <v>0.96120000000000005</v>
      </c>
      <c r="AZ39" s="1415">
        <v>-0.23400000000000001</v>
      </c>
      <c r="BA39" s="1227">
        <f>SQRT(BB39^2+BC39^2)*1000/(1.73*BB$12)</f>
        <v>59.064957793032221</v>
      </c>
      <c r="BB39" s="1254">
        <v>1.0344</v>
      </c>
      <c r="BC39" s="1415">
        <v>-0.24360000000000001</v>
      </c>
      <c r="BD39" s="1227">
        <f>SQRT(BE39^2+BF39^2)*1000/(1.73*BE$12)</f>
        <v>64.305100727759992</v>
      </c>
      <c r="BE39" s="1254">
        <v>1.1292</v>
      </c>
      <c r="BF39" s="1415">
        <v>-0.252</v>
      </c>
      <c r="BG39" s="1227">
        <f>SQRT(BH39^2+BI39^2)*1000/(1.73*BH$12)</f>
        <v>66.296534206245624</v>
      </c>
      <c r="BH39" s="1254">
        <v>1.1664000000000001</v>
      </c>
      <c r="BI39" s="1415">
        <v>-0.24959999999999999</v>
      </c>
      <c r="BJ39" s="1227">
        <f>SQRT(BK39^2+BL39^2)*1000/(1.73*BK$12)</f>
        <v>69.259838349507007</v>
      </c>
      <c r="BK39" s="1254">
        <v>1.2216</v>
      </c>
      <c r="BL39" s="1415">
        <v>-0.246</v>
      </c>
      <c r="BM39" s="1227">
        <f>SQRT(BN39^2+BO39^2)*1000/(1.73*BN$12)</f>
        <v>72.650499254272233</v>
      </c>
      <c r="BN39" s="1254">
        <v>1.284</v>
      </c>
      <c r="BO39" s="1415">
        <v>-0.24479999999999999</v>
      </c>
      <c r="BP39" s="1227">
        <f>SQRT(BQ39^2+BR39^2)*1000/(1.73*BQ$12)</f>
        <v>72.008079863347646</v>
      </c>
      <c r="BQ39" s="1254">
        <v>1.272</v>
      </c>
      <c r="BR39" s="1415">
        <v>-0.246</v>
      </c>
      <c r="BS39" s="1227">
        <f>SQRT(BT39^2+BU39^2)*1000/(1.73*BT$12)</f>
        <v>68.619450320673621</v>
      </c>
      <c r="BT39" s="1254">
        <v>1.2096</v>
      </c>
      <c r="BU39" s="1415">
        <v>-0.2472</v>
      </c>
      <c r="BV39" s="1227">
        <f>SQRT(BW39^2+BX39^2)*1000/(1.73*BW$12)</f>
        <v>62.453748959532319</v>
      </c>
      <c r="BW39" s="1254">
        <v>1.0980000000000001</v>
      </c>
      <c r="BX39" s="1415">
        <v>-0.23880000000000001</v>
      </c>
      <c r="BY39" s="1227">
        <f>SQRT(BZ39^2+CA39^2)*1000/(1.73*BZ$12)</f>
        <v>55.960151239803025</v>
      </c>
      <c r="BZ39" s="1254">
        <v>0.98040000000000005</v>
      </c>
      <c r="CA39" s="1415">
        <v>-0.22919999999999999</v>
      </c>
    </row>
    <row r="40" spans="1:81" x14ac:dyDescent="0.2">
      <c r="A40" s="1250">
        <v>12</v>
      </c>
      <c r="B40" s="1243" t="s">
        <v>320</v>
      </c>
      <c r="C40" s="1222"/>
      <c r="D40" s="1419"/>
      <c r="E40" s="1420"/>
      <c r="F40" s="1234"/>
      <c r="G40" s="1421"/>
      <c r="H40" s="1227">
        <f>SQRT(I40^2+J40^2)*1000/(1.73*I$18)</f>
        <v>25.745121030171788</v>
      </c>
      <c r="I40" s="1254">
        <v>0.43440000000000001</v>
      </c>
      <c r="J40" s="1415">
        <v>-0.1608</v>
      </c>
      <c r="K40" s="1227">
        <f>SQRT(L40^2+M40^2)*1000/(1.73*L$18)</f>
        <v>24.225822036886587</v>
      </c>
      <c r="L40" s="1254">
        <v>0.40560000000000002</v>
      </c>
      <c r="M40" s="1415">
        <v>-0.15959999999999999</v>
      </c>
      <c r="N40" s="1227">
        <f>SQRT(O40^2+P40^2)*1000/(1.73*O$18)</f>
        <v>23.365422156718971</v>
      </c>
      <c r="O40" s="1254">
        <v>0.38640000000000002</v>
      </c>
      <c r="P40" s="1415">
        <v>-0.1656</v>
      </c>
      <c r="Q40" s="1227">
        <f>SQRT(R40^2+S40^2)*1000/(1.73*R$18)</f>
        <v>22.98972543502428</v>
      </c>
      <c r="R40" s="1254">
        <v>0.38159999999999999</v>
      </c>
      <c r="S40" s="1415">
        <v>-0.15959999999999999</v>
      </c>
      <c r="T40" s="1227">
        <f>SQRT(U40^2+V40^2)*1000/(1.73*U$18)</f>
        <v>22.831287535665641</v>
      </c>
      <c r="U40" s="1254">
        <v>0.378</v>
      </c>
      <c r="V40" s="1415">
        <v>-0.1608</v>
      </c>
      <c r="W40" s="1227">
        <f>SQRT(X40^2+Y40^2)*1000/(1.73*X$18)</f>
        <v>23.359424297417529</v>
      </c>
      <c r="X40" s="1254">
        <v>0.38879999999999998</v>
      </c>
      <c r="Y40" s="1415">
        <v>-0.15959999999999999</v>
      </c>
      <c r="Z40" s="1227">
        <f>SQRT(AA40^2+AB40^2)*1000/(1.73*AA$18)</f>
        <v>26.811335711742181</v>
      </c>
      <c r="AA40" s="1254">
        <v>0.45479999999999998</v>
      </c>
      <c r="AB40" s="1415">
        <v>-0.1608</v>
      </c>
      <c r="AC40" s="1227">
        <f>SQRT(AD40^2+AE40^2)*1000/(1.73*AD$18)</f>
        <v>29.253536602648136</v>
      </c>
      <c r="AD40" s="1254">
        <v>0.49919999999999998</v>
      </c>
      <c r="AE40" s="1415">
        <v>-0.1668</v>
      </c>
      <c r="AF40" s="1227">
        <f>SQRT(AG40^2+AH40^2)*1000/(1.73*AG$18)</f>
        <v>29.337962131027055</v>
      </c>
      <c r="AG40" s="1254">
        <v>0.50039999999999996</v>
      </c>
      <c r="AH40" s="1415">
        <v>-0.16800000000000001</v>
      </c>
      <c r="AI40" s="1227">
        <f>SQRT(AJ40^2+AK40^2)*1000/(1.73*AJ$18)</f>
        <v>28.516162915365534</v>
      </c>
      <c r="AJ40" s="1254">
        <v>0.48</v>
      </c>
      <c r="AK40" s="1415">
        <v>-0.1812</v>
      </c>
      <c r="AL40" s="1227">
        <f>SQRT(AM40^2+AN40^2)*1000/(1.73*AM$18)</f>
        <v>27.335480605886993</v>
      </c>
      <c r="AM40" s="1254">
        <v>0.45479999999999998</v>
      </c>
      <c r="AN40" s="1415">
        <v>-0.18720000000000001</v>
      </c>
      <c r="AO40" s="1227">
        <f>SQRT(AP40^2+AQ40^2)*1000/(1.73*AP$18)</f>
        <v>28.017610526368159</v>
      </c>
      <c r="AP40" s="1254">
        <v>0.47039999999999998</v>
      </c>
      <c r="AQ40" s="1415">
        <v>-0.1812</v>
      </c>
      <c r="AR40" s="1227">
        <f>SQRT(AS40^2+AT40^2)*1000/(1.73*AS$18)</f>
        <v>29.005227364247936</v>
      </c>
      <c r="AS40" s="1254">
        <v>0.49199999999999999</v>
      </c>
      <c r="AT40" s="1415">
        <v>-0.17399999999999999</v>
      </c>
      <c r="AU40" s="1227">
        <f>SQRT(AV40^2+AW40^2)*1000/(1.73*AV$18)</f>
        <v>28.650859041732694</v>
      </c>
      <c r="AV40" s="1254">
        <v>0.48480000000000001</v>
      </c>
      <c r="AW40" s="1415">
        <v>-0.17519999999999999</v>
      </c>
      <c r="AX40" s="1227">
        <f>SQRT(AY40^2+AZ40^2)*1000/(1.73*AY$18)</f>
        <v>28.691043791334952</v>
      </c>
      <c r="AY40" s="1254">
        <v>0.48599999999999999</v>
      </c>
      <c r="AZ40" s="1415">
        <v>-0.17399999999999999</v>
      </c>
      <c r="BA40" s="1227">
        <f>SQRT(BB40^2+BC40^2)*1000/(1.73*BB$18)</f>
        <v>29.323629973740257</v>
      </c>
      <c r="BB40" s="1254">
        <v>0.49680000000000002</v>
      </c>
      <c r="BC40" s="1415">
        <v>-0.17760000000000001</v>
      </c>
      <c r="BD40" s="1227">
        <f>SQRT(BE40^2+BF40^2)*1000/(1.73*BE$18)</f>
        <v>31.532968385956238</v>
      </c>
      <c r="BE40" s="1254">
        <v>0.53639999999999999</v>
      </c>
      <c r="BF40" s="1415">
        <v>-0.18479999999999999</v>
      </c>
      <c r="BG40" s="1227">
        <f>SQRT(BH40^2+BI40^2)*1000/(1.73*BH$18)</f>
        <v>32.227640172669986</v>
      </c>
      <c r="BH40" s="1254">
        <v>0.55079999999999996</v>
      </c>
      <c r="BI40" s="1415">
        <v>-0.1812</v>
      </c>
      <c r="BJ40" s="1227">
        <f>SQRT(BK40^2+BL40^2)*1000/(1.73*BK$18)</f>
        <v>34.267107308480192</v>
      </c>
      <c r="BK40" s="1254">
        <v>0.59040000000000004</v>
      </c>
      <c r="BL40" s="1415">
        <v>-0.17760000000000001</v>
      </c>
      <c r="BM40" s="1227">
        <f>SQRT(BN40^2+BO40^2)*1000/(1.73*BN$18)</f>
        <v>34.580412428480649</v>
      </c>
      <c r="BN40" s="1254">
        <v>0.59519999999999995</v>
      </c>
      <c r="BO40" s="1415">
        <v>-0.1812</v>
      </c>
      <c r="BP40" s="1227">
        <f>SQRT(BQ40^2+BR40^2)*1000/(1.73*BQ$18)</f>
        <v>33.737060878977339</v>
      </c>
      <c r="BQ40" s="1254">
        <v>0.58079999999999998</v>
      </c>
      <c r="BR40" s="1415">
        <v>-0.1764</v>
      </c>
      <c r="BS40" s="1227">
        <f>SQRT(BT40^2+BU40^2)*1000/(1.73*BT$18)</f>
        <v>32.102202380470267</v>
      </c>
      <c r="BT40" s="1254">
        <v>0.54959999999999998</v>
      </c>
      <c r="BU40" s="1415">
        <v>-0.17760000000000001</v>
      </c>
      <c r="BV40" s="1227">
        <f>SQRT(BW40^2+BX40^2)*1000/(1.73*BW$18)</f>
        <v>30.244845987828405</v>
      </c>
      <c r="BW40" s="1254">
        <v>0.51600000000000001</v>
      </c>
      <c r="BX40" s="1415">
        <v>-0.17280000000000001</v>
      </c>
      <c r="BY40" s="1227">
        <f>SQRT(BZ40^2+CA40^2)*1000/(1.73*BZ$18)</f>
        <v>27.11883753523162</v>
      </c>
      <c r="BZ40" s="1254">
        <v>0.4572</v>
      </c>
      <c r="CA40" s="1415">
        <v>-0.1704</v>
      </c>
    </row>
    <row r="41" spans="1:81" x14ac:dyDescent="0.2">
      <c r="A41" s="1250">
        <v>13</v>
      </c>
      <c r="B41" s="1243" t="s">
        <v>321</v>
      </c>
      <c r="C41" s="1222"/>
      <c r="D41" s="1416"/>
      <c r="E41" s="1417"/>
      <c r="F41" s="1223"/>
      <c r="G41" s="1418"/>
      <c r="H41" s="1227">
        <f>SQRT(I41^2+J41^2)*1000/(1.73*I$12)</f>
        <v>10.406239304906141</v>
      </c>
      <c r="I41" s="1254">
        <v>0.18640000000000001</v>
      </c>
      <c r="J41" s="1415">
        <v>-1.7600000000000001E-2</v>
      </c>
      <c r="K41" s="1227">
        <f>SQRT(L41^2+M41^2)*1000/(1.73*L$12)</f>
        <v>10.361972830832917</v>
      </c>
      <c r="L41" s="1254">
        <v>0.18559999999999999</v>
      </c>
      <c r="M41" s="1415">
        <v>-1.7600000000000001E-2</v>
      </c>
      <c r="N41" s="1227">
        <f>SQRT(O41^2+P41^2)*1000/(1.73*O$12)</f>
        <v>10.627596438543222</v>
      </c>
      <c r="O41" s="1254">
        <v>0.19040000000000001</v>
      </c>
      <c r="P41" s="1415">
        <v>-1.7600000000000001E-2</v>
      </c>
      <c r="Q41" s="1227">
        <f>SQRT(R41^2+S41^2)*1000/(1.73*R$12)</f>
        <v>10.227081596659794</v>
      </c>
      <c r="R41" s="1254">
        <v>0.1832</v>
      </c>
      <c r="S41" s="1415">
        <v>-1.72E-2</v>
      </c>
      <c r="T41" s="1227">
        <f>SQRT(U41^2+V41^2)*1000/(1.73*U$12)</f>
        <v>8.738687243068938</v>
      </c>
      <c r="U41" s="1254">
        <v>0.156</v>
      </c>
      <c r="V41" s="1415">
        <v>-1.9599999999999999E-2</v>
      </c>
      <c r="W41" s="1227">
        <f>SQRT(X41^2+Y41^2)*1000/(1.73*X$12)</f>
        <v>9.5164309161512186</v>
      </c>
      <c r="X41" s="1254">
        <v>0.17</v>
      </c>
      <c r="Y41" s="1415">
        <v>-2.0400000000000001E-2</v>
      </c>
      <c r="Z41" s="1227">
        <f>SQRT(AA41^2+AB41^2)*1000/(1.73*AA$12)</f>
        <v>9.9393664078034494</v>
      </c>
      <c r="AA41" s="1254">
        <v>0.17799999999999999</v>
      </c>
      <c r="AB41" s="1415">
        <v>-1.72E-2</v>
      </c>
      <c r="AC41" s="1227">
        <f>SQRT(AD41^2+AE41^2)*1000/(1.73*AD$12)</f>
        <v>10.614403280713587</v>
      </c>
      <c r="AD41" s="1254">
        <v>0.19040000000000001</v>
      </c>
      <c r="AE41" s="1415">
        <v>-1.4800000000000001E-2</v>
      </c>
      <c r="AF41" s="1227">
        <f>SQRT(AG41^2+AH41^2)*1000/(1.73*AG$12)</f>
        <v>12.832854478886773</v>
      </c>
      <c r="AG41" s="1254">
        <v>0.23080000000000001</v>
      </c>
      <c r="AH41" s="1415">
        <v>-6.4000000000000003E-3</v>
      </c>
      <c r="AI41" s="1227">
        <f>SQRT(AJ41^2+AK41^2)*1000/(1.73*AJ$12)</f>
        <v>12.847635995768428</v>
      </c>
      <c r="AJ41" s="1254">
        <v>0.23080000000000001</v>
      </c>
      <c r="AK41" s="1415">
        <v>-1.2800000000000001E-2</v>
      </c>
      <c r="AL41" s="1227">
        <f>SQRT(AM41^2+AN41^2)*1000/(1.73*AM$12)</f>
        <v>11.617013173197002</v>
      </c>
      <c r="AM41" s="1254">
        <v>0.2084</v>
      </c>
      <c r="AN41" s="1415">
        <v>-1.6E-2</v>
      </c>
      <c r="AO41" s="1227">
        <f>SQRT(AP41^2+AQ41^2)*1000/(1.73*AP$12)</f>
        <v>11.49124486602024</v>
      </c>
      <c r="AP41" s="1254">
        <v>0.20599999999999999</v>
      </c>
      <c r="AQ41" s="1415">
        <v>-1.7600000000000001E-2</v>
      </c>
      <c r="AR41" s="1227">
        <f>SQRT(AS41^2+AT41^2)*1000/(1.73*AS$12)</f>
        <v>12.220641505948372</v>
      </c>
      <c r="AS41" s="1254">
        <v>0.21920000000000001</v>
      </c>
      <c r="AT41" s="1415">
        <v>-1.72E-2</v>
      </c>
      <c r="AU41" s="1227">
        <f>SQRT(AV41^2+AW41^2)*1000/(1.73*AV$12)</f>
        <v>11.445064248510425</v>
      </c>
      <c r="AV41" s="1254">
        <v>0.20519999999999999</v>
      </c>
      <c r="AW41" s="1415">
        <v>-1.72E-2</v>
      </c>
      <c r="AX41" s="1227">
        <f>SQRT(AY41^2+AZ41^2)*1000/(1.73*AY$12)</f>
        <v>10.830959523575357</v>
      </c>
      <c r="AY41" s="1254">
        <v>0.19400000000000001</v>
      </c>
      <c r="AZ41" s="1415">
        <v>-1.84E-2</v>
      </c>
      <c r="BA41" s="1227">
        <f>SQRT(BB41^2+BC41^2)*1000/(1.73*BB$12)</f>
        <v>11.314043768533239</v>
      </c>
      <c r="BB41" s="1254">
        <v>0.20280000000000001</v>
      </c>
      <c r="BC41" s="1415">
        <v>-1.7600000000000001E-2</v>
      </c>
      <c r="BD41" s="1227">
        <f>SQRT(BE41^2+BF41^2)*1000/(1.73*BE$12)</f>
        <v>10.933675099310991</v>
      </c>
      <c r="BE41" s="1254">
        <v>0.19600000000000001</v>
      </c>
      <c r="BF41" s="1415">
        <v>-1.6799999999999999E-2</v>
      </c>
      <c r="BG41" s="1227">
        <f>SQRT(BH41^2+BI41^2)*1000/(1.73*BH$12)</f>
        <v>10.178734804916438</v>
      </c>
      <c r="BH41" s="1254">
        <v>0.18240000000000001</v>
      </c>
      <c r="BI41" s="1415">
        <v>-1.6400000000000001E-2</v>
      </c>
      <c r="BJ41" s="1227">
        <f>SQRT(BK41^2+BL41^2)*1000/(1.73*BK$12)</f>
        <v>9.4641935188293118</v>
      </c>
      <c r="BK41" s="1254">
        <v>0.1696</v>
      </c>
      <c r="BL41" s="1415">
        <v>-1.52E-2</v>
      </c>
      <c r="BM41" s="1227">
        <f>SQRT(BN41^2+BO41^2)*1000/(1.73*BN$12)</f>
        <v>10.147317380770513</v>
      </c>
      <c r="BN41" s="1254">
        <v>0.18160000000000001</v>
      </c>
      <c r="BO41" s="1415">
        <v>-1.8800000000000001E-2</v>
      </c>
      <c r="BP41" s="1227">
        <f>SQRT(BQ41^2+BR41^2)*1000/(1.73*BQ$12)</f>
        <v>8.6643899843884569</v>
      </c>
      <c r="BQ41" s="1254">
        <v>0.15479999999999999</v>
      </c>
      <c r="BR41" s="1415">
        <v>-1.84E-2</v>
      </c>
      <c r="BS41" s="1227">
        <f>SQRT(BT41^2+BU41^2)*1000/(1.73*BT$12)</f>
        <v>8.3447126383454364</v>
      </c>
      <c r="BT41" s="1254">
        <v>0.14879999999999999</v>
      </c>
      <c r="BU41" s="1415">
        <v>-0.02</v>
      </c>
      <c r="BV41" s="1227">
        <f>SQRT(BW41^2+BX41^2)*1000/(1.73*BW$12)</f>
        <v>10.786694787100194</v>
      </c>
      <c r="BW41" s="1254">
        <v>0.19320000000000001</v>
      </c>
      <c r="BX41" s="1415">
        <v>-1.84E-2</v>
      </c>
      <c r="BY41" s="1227">
        <f>SQRT(BZ41^2+CA41^2)*1000/(1.73*BZ$12)</f>
        <v>10.537008429963151</v>
      </c>
      <c r="BZ41" s="1254">
        <v>0.1888</v>
      </c>
      <c r="CA41" s="1415">
        <v>-1.72E-2</v>
      </c>
    </row>
    <row r="42" spans="1:81" ht="13.5" thickBot="1" x14ac:dyDescent="0.25">
      <c r="A42" s="1250">
        <v>14</v>
      </c>
      <c r="B42" s="1243" t="s">
        <v>322</v>
      </c>
      <c r="C42" s="1222"/>
      <c r="D42" s="1416"/>
      <c r="E42" s="1417"/>
      <c r="F42" s="1223"/>
      <c r="G42" s="1418"/>
      <c r="H42" s="1227">
        <f>SQRT(I42^2+J42^2)*1000/(1.73*I$18)</f>
        <v>20.464273574323961</v>
      </c>
      <c r="I42" s="1254">
        <v>0.35320000000000001</v>
      </c>
      <c r="J42" s="1415">
        <v>0.104</v>
      </c>
      <c r="K42" s="1227">
        <f>SQRT(L42^2+M42^2)*1000/(1.73*L$18)</f>
        <v>19.280053636452934</v>
      </c>
      <c r="L42" s="1254">
        <v>0.33239999999999997</v>
      </c>
      <c r="M42" s="1415">
        <v>9.9199999999999997E-2</v>
      </c>
      <c r="N42" s="1227">
        <f>SQRT(O42^2+P42^2)*1000/(1.73*O$18)</f>
        <v>19.570325767674287</v>
      </c>
      <c r="O42" s="1254">
        <v>0.33639999999999998</v>
      </c>
      <c r="P42" s="1415">
        <v>0.104</v>
      </c>
      <c r="Q42" s="1227">
        <f>SQRT(R42^2+S42^2)*1000/(1.73*R$18)</f>
        <v>19.040923532450055</v>
      </c>
      <c r="R42" s="1254">
        <v>0.33</v>
      </c>
      <c r="S42" s="1415">
        <v>9.1999999999999998E-2</v>
      </c>
      <c r="T42" s="1227">
        <f>SQRT(U42^2+V42^2)*1000/(1.73*U$18)</f>
        <v>18.570248334366845</v>
      </c>
      <c r="U42" s="1254">
        <v>0.31879999999999997</v>
      </c>
      <c r="V42" s="1415">
        <v>0.1</v>
      </c>
      <c r="W42" s="1227">
        <f>SQRT(X42^2+Y42^2)*1000/(1.73*X$18)</f>
        <v>18.118345694814273</v>
      </c>
      <c r="X42" s="1254">
        <v>0.31319999999999998</v>
      </c>
      <c r="Y42" s="1415">
        <v>9.0399999999999994E-2</v>
      </c>
      <c r="Z42" s="1227">
        <f>SQRT(AA42^2+AB42^2)*1000/(1.73*AA$18)</f>
        <v>18.604391936930966</v>
      </c>
      <c r="AA42" s="1254">
        <v>0.3236</v>
      </c>
      <c r="AB42" s="1415">
        <v>8.5599999999999996E-2</v>
      </c>
      <c r="AC42" s="1227">
        <f>SQRT(AD42^2+AE42^2)*1000/(1.73*AD$18)</f>
        <v>19.111657792339159</v>
      </c>
      <c r="AD42" s="1254">
        <v>0.33479999999999999</v>
      </c>
      <c r="AE42" s="1415">
        <v>7.8399999999999997E-2</v>
      </c>
      <c r="AF42" s="1227">
        <f>SQRT(AG42^2+AH42^2)*1000/(1.73*AG$18)</f>
        <v>21.902909615773062</v>
      </c>
      <c r="AG42" s="1254">
        <v>0.38279999999999997</v>
      </c>
      <c r="AH42" s="1415">
        <v>9.3600000000000003E-2</v>
      </c>
      <c r="AI42" s="1227">
        <f>SQRT(AJ42^2+AK42^2)*1000/(1.73*AJ$18)</f>
        <v>21.263028001745496</v>
      </c>
      <c r="AJ42" s="1254">
        <v>0.37240000000000001</v>
      </c>
      <c r="AK42" s="1415">
        <v>8.7599999999999997E-2</v>
      </c>
      <c r="AL42" s="1227">
        <f>SQRT(AM42^2+AN42^2)*1000/(1.73*AM$18)</f>
        <v>21.122159490941513</v>
      </c>
      <c r="AM42" s="1254">
        <v>0.36759999999999998</v>
      </c>
      <c r="AN42" s="1415">
        <v>9.64E-2</v>
      </c>
      <c r="AO42" s="1227">
        <f>SQRT(AP42^2+AQ42^2)*1000/(1.73*AP$18)</f>
        <v>20.894924678105482</v>
      </c>
      <c r="AP42" s="1254">
        <v>0.36399999999999999</v>
      </c>
      <c r="AQ42" s="1415">
        <v>9.4E-2</v>
      </c>
      <c r="AR42" s="1227">
        <f>SQRT(AS42^2+AT42^2)*1000/(1.73*AS$18)</f>
        <v>21.104590203986135</v>
      </c>
      <c r="AS42" s="1254">
        <v>0.36840000000000001</v>
      </c>
      <c r="AT42" s="1415">
        <v>9.1999999999999998E-2</v>
      </c>
      <c r="AU42" s="1227">
        <f>SQRT(AV42^2+AW42^2)*1000/(1.73*AV$18)</f>
        <v>21.342413754118624</v>
      </c>
      <c r="AV42" s="1254">
        <v>0.37319999999999998</v>
      </c>
      <c r="AW42" s="1415">
        <v>9.0399999999999994E-2</v>
      </c>
      <c r="AX42" s="1227">
        <f>SQRT(AY42^2+AZ42^2)*1000/(1.73*AY$18)</f>
        <v>21.007549428570787</v>
      </c>
      <c r="AY42" s="1254">
        <v>0.36680000000000001</v>
      </c>
      <c r="AZ42" s="1415">
        <v>9.1200000000000003E-2</v>
      </c>
      <c r="BA42" s="1227">
        <f>SQRT(BB42^2+BC42^2)*1000/(1.73*BB$18)</f>
        <v>21.305188127321507</v>
      </c>
      <c r="BB42" s="1254">
        <v>0.37280000000000002</v>
      </c>
      <c r="BC42" s="1415">
        <v>8.9200000000000002E-2</v>
      </c>
      <c r="BD42" s="1227">
        <f>SQRT(BE42^2+BF42^2)*1000/(1.73*BE$18)</f>
        <v>21.123551767249129</v>
      </c>
      <c r="BE42" s="1254">
        <v>0.36599999999999999</v>
      </c>
      <c r="BF42" s="1415">
        <v>0.1024</v>
      </c>
      <c r="BG42" s="1227">
        <f>SQRT(BH42^2+BI42^2)*1000/(1.73*BH$18)</f>
        <v>20.313099277301465</v>
      </c>
      <c r="BH42" s="1254">
        <v>0.35360000000000003</v>
      </c>
      <c r="BI42" s="1415">
        <v>9.2399999999999996E-2</v>
      </c>
      <c r="BJ42" s="1227">
        <f>SQRT(BK42^2+BL42^2)*1000/(1.73*BK$18)</f>
        <v>19.433261824868257</v>
      </c>
      <c r="BK42" s="1254">
        <v>0.33960000000000001</v>
      </c>
      <c r="BL42" s="1415">
        <v>8.3199999999999996E-2</v>
      </c>
      <c r="BM42" s="1227">
        <f>SQRT(BN42^2+BO42^2)*1000/(1.73*BN$18)</f>
        <v>20.276458137935812</v>
      </c>
      <c r="BN42" s="1254">
        <v>0.35520000000000002</v>
      </c>
      <c r="BO42" s="1415">
        <v>8.3199999999999996E-2</v>
      </c>
      <c r="BP42" s="1227">
        <f>SQRT(BQ42^2+BR42^2)*1000/(1.73*BQ$18)</f>
        <v>20.66246452640571</v>
      </c>
      <c r="BQ42" s="1254">
        <v>0.36080000000000001</v>
      </c>
      <c r="BR42" s="1415">
        <v>8.9599999999999999E-2</v>
      </c>
      <c r="BS42" s="1227">
        <f>SQRT(BT42^2+BU42^2)*1000/(1.73*BT$18)</f>
        <v>20.09822703486288</v>
      </c>
      <c r="BT42" s="1254">
        <v>0.35199999999999998</v>
      </c>
      <c r="BU42" s="1415">
        <v>8.2799999999999999E-2</v>
      </c>
      <c r="BV42" s="1227">
        <f>SQRT(BW42^2+BX42^2)*1000/(1.73*BW$18)</f>
        <v>19.506691065894639</v>
      </c>
      <c r="BW42" s="1254">
        <v>0.33879999999999999</v>
      </c>
      <c r="BX42" s="1415">
        <v>9.1600000000000001E-2</v>
      </c>
      <c r="BY42" s="1227">
        <f>SQRT(BZ42^2+CA42^2)*1000/(1.73*BZ$18)</f>
        <v>19.342249170685939</v>
      </c>
      <c r="BZ42" s="1254">
        <v>0.33679999999999999</v>
      </c>
      <c r="CA42" s="1415">
        <v>8.7599999999999997E-2</v>
      </c>
    </row>
    <row r="43" spans="1:81" x14ac:dyDescent="0.2">
      <c r="A43" s="1256" t="s">
        <v>102</v>
      </c>
      <c r="B43" s="1257"/>
      <c r="C43" s="1258"/>
      <c r="D43" s="1259"/>
      <c r="E43" s="1260"/>
      <c r="F43" s="1259"/>
      <c r="G43" s="1261"/>
      <c r="H43" s="1262">
        <f t="shared" ref="H43:BS43" si="2">H29+H35+H33+H31+H37+H41+H39</f>
        <v>226.49417577033611</v>
      </c>
      <c r="I43" s="1263">
        <f t="shared" si="2"/>
        <v>3.8719999999999999</v>
      </c>
      <c r="J43" s="1264">
        <f t="shared" si="2"/>
        <v>-0.26019999999999999</v>
      </c>
      <c r="K43" s="1262">
        <f t="shared" si="2"/>
        <v>211.90087901180624</v>
      </c>
      <c r="L43" s="1263">
        <f t="shared" si="2"/>
        <v>3.6083999999999996</v>
      </c>
      <c r="M43" s="1264">
        <f t="shared" si="2"/>
        <v>-0.36380000000000001</v>
      </c>
      <c r="N43" s="1262">
        <f t="shared" si="2"/>
        <v>207.83629122309299</v>
      </c>
      <c r="O43" s="1263">
        <f t="shared" si="2"/>
        <v>3.5307999999999997</v>
      </c>
      <c r="P43" s="1264">
        <f t="shared" si="2"/>
        <v>-0.37739999999999996</v>
      </c>
      <c r="Q43" s="1262">
        <f t="shared" si="2"/>
        <v>204.18922616212421</v>
      </c>
      <c r="R43" s="1263">
        <f t="shared" si="2"/>
        <v>3.4663999999999993</v>
      </c>
      <c r="S43" s="1264">
        <f t="shared" si="2"/>
        <v>-0.38879999999999998</v>
      </c>
      <c r="T43" s="1262">
        <f t="shared" si="2"/>
        <v>202.66691292626177</v>
      </c>
      <c r="U43" s="1263">
        <f t="shared" si="2"/>
        <v>3.4373999999999998</v>
      </c>
      <c r="V43" s="1264">
        <f t="shared" si="2"/>
        <v>-0.39400000000000002</v>
      </c>
      <c r="W43" s="1262">
        <f t="shared" si="2"/>
        <v>209.24312476003641</v>
      </c>
      <c r="X43" s="1263">
        <f t="shared" si="2"/>
        <v>3.5585999999999998</v>
      </c>
      <c r="Y43" s="1264">
        <f t="shared" si="2"/>
        <v>-0.37859999999999999</v>
      </c>
      <c r="Z43" s="1262">
        <f t="shared" si="2"/>
        <v>229.28894274307046</v>
      </c>
      <c r="AA43" s="1263">
        <f t="shared" si="2"/>
        <v>3.9289999999999998</v>
      </c>
      <c r="AB43" s="1264">
        <f t="shared" si="2"/>
        <v>-0.36759999999999998</v>
      </c>
      <c r="AC43" s="1262">
        <f t="shared" si="2"/>
        <v>249.71553714604471</v>
      </c>
      <c r="AD43" s="1263">
        <f t="shared" si="2"/>
        <v>4.3032000000000004</v>
      </c>
      <c r="AE43" s="1264">
        <f t="shared" si="2"/>
        <v>-0.36299999999999999</v>
      </c>
      <c r="AF43" s="1262">
        <f t="shared" si="2"/>
        <v>261.36544692726943</v>
      </c>
      <c r="AG43" s="1263">
        <f t="shared" si="2"/>
        <v>4.5127999999999995</v>
      </c>
      <c r="AH43" s="1264">
        <f t="shared" si="2"/>
        <v>-0.20019999999999999</v>
      </c>
      <c r="AI43" s="1262">
        <f t="shared" si="2"/>
        <v>258.62414445205172</v>
      </c>
      <c r="AJ43" s="1263">
        <f t="shared" si="2"/>
        <v>4.4586000000000006</v>
      </c>
      <c r="AK43" s="1264">
        <f t="shared" si="2"/>
        <v>-0.12559999999999999</v>
      </c>
      <c r="AL43" s="1262">
        <f t="shared" si="2"/>
        <v>261.10226275706492</v>
      </c>
      <c r="AM43" s="1263">
        <f t="shared" si="2"/>
        <v>4.5002000000000004</v>
      </c>
      <c r="AN43" s="1264">
        <f t="shared" si="2"/>
        <v>-9.1600000000000015E-2</v>
      </c>
      <c r="AO43" s="1262">
        <f t="shared" si="2"/>
        <v>263.26434222317187</v>
      </c>
      <c r="AP43" s="1263">
        <f t="shared" si="2"/>
        <v>4.5407999999999999</v>
      </c>
      <c r="AQ43" s="1264">
        <f t="shared" si="2"/>
        <v>-0.13900000000000001</v>
      </c>
      <c r="AR43" s="1262">
        <f t="shared" si="2"/>
        <v>262.17916336953675</v>
      </c>
      <c r="AS43" s="1263">
        <f t="shared" si="2"/>
        <v>4.5269999999999992</v>
      </c>
      <c r="AT43" s="1264">
        <f t="shared" si="2"/>
        <v>-0.1958</v>
      </c>
      <c r="AU43" s="1262">
        <f t="shared" si="2"/>
        <v>260.14823353966733</v>
      </c>
      <c r="AV43" s="1263">
        <f t="shared" si="2"/>
        <v>4.4872000000000005</v>
      </c>
      <c r="AW43" s="1264">
        <f t="shared" si="2"/>
        <v>-0.1192</v>
      </c>
      <c r="AX43" s="1262">
        <f t="shared" si="2"/>
        <v>257.86083417442865</v>
      </c>
      <c r="AY43" s="1263">
        <f t="shared" si="2"/>
        <v>4.4416000000000002</v>
      </c>
      <c r="AZ43" s="1264">
        <f t="shared" si="2"/>
        <v>-0.13400000000000001</v>
      </c>
      <c r="BA43" s="1262">
        <f t="shared" si="2"/>
        <v>269.11577218891227</v>
      </c>
      <c r="BB43" s="1263">
        <f t="shared" si="2"/>
        <v>4.6478000000000002</v>
      </c>
      <c r="BC43" s="1264">
        <f t="shared" si="2"/>
        <v>-0.14300000000000002</v>
      </c>
      <c r="BD43" s="1262">
        <f t="shared" si="2"/>
        <v>279.5765809634799</v>
      </c>
      <c r="BE43" s="1263">
        <f t="shared" si="2"/>
        <v>4.8394000000000004</v>
      </c>
      <c r="BF43" s="1264">
        <f t="shared" si="2"/>
        <v>-0.20920000000000002</v>
      </c>
      <c r="BG43" s="1262">
        <f t="shared" si="2"/>
        <v>281.32513950652435</v>
      </c>
      <c r="BH43" s="1263">
        <f t="shared" si="2"/>
        <v>4.8681999999999999</v>
      </c>
      <c r="BI43" s="1264">
        <f t="shared" si="2"/>
        <v>-0.1694</v>
      </c>
      <c r="BJ43" s="1262">
        <f t="shared" si="2"/>
        <v>282.23228705061706</v>
      </c>
      <c r="BK43" s="1263">
        <f t="shared" si="2"/>
        <v>4.8891999999999998</v>
      </c>
      <c r="BL43" s="1264">
        <f t="shared" si="2"/>
        <v>-0.19440000000000002</v>
      </c>
      <c r="BM43" s="1262">
        <f t="shared" si="2"/>
        <v>287.2224124525689</v>
      </c>
      <c r="BN43" s="1263">
        <f t="shared" si="2"/>
        <v>4.9805999999999999</v>
      </c>
      <c r="BO43" s="1264">
        <f t="shared" si="2"/>
        <v>-0.22059999999999999</v>
      </c>
      <c r="BP43" s="1262">
        <f t="shared" si="2"/>
        <v>284.20522815743249</v>
      </c>
      <c r="BQ43" s="1263">
        <f t="shared" si="2"/>
        <v>4.9234</v>
      </c>
      <c r="BR43" s="1264">
        <f t="shared" si="2"/>
        <v>-0.20820000000000002</v>
      </c>
      <c r="BS43" s="1262">
        <f t="shared" si="2"/>
        <v>274.30925070731053</v>
      </c>
      <c r="BT43" s="1263">
        <f t="shared" ref="BT43:CA43" si="3">BT29+BT35+BT33+BT31+BT37+BT41+BT39</f>
        <v>4.7425999999999995</v>
      </c>
      <c r="BU43" s="1264">
        <f t="shared" si="3"/>
        <v>-0.20119999999999999</v>
      </c>
      <c r="BV43" s="1262">
        <f t="shared" si="3"/>
        <v>265.39277304136812</v>
      </c>
      <c r="BW43" s="1263">
        <f t="shared" si="3"/>
        <v>4.5846</v>
      </c>
      <c r="BX43" s="1264">
        <f t="shared" si="3"/>
        <v>-0.2198</v>
      </c>
      <c r="BY43" s="1262">
        <f t="shared" si="3"/>
        <v>250.19169486970901</v>
      </c>
      <c r="BZ43" s="1263">
        <f t="shared" si="3"/>
        <v>4.3064000000000009</v>
      </c>
      <c r="CA43" s="1264">
        <f t="shared" si="3"/>
        <v>-0.24559999999999998</v>
      </c>
    </row>
    <row r="44" spans="1:81" ht="13.5" thickBot="1" x14ac:dyDescent="0.25">
      <c r="A44" s="1267" t="s">
        <v>103</v>
      </c>
      <c r="B44" s="1268"/>
      <c r="C44" s="1269"/>
      <c r="D44" s="1270"/>
      <c r="E44" s="1271"/>
      <c r="F44" s="1272"/>
      <c r="G44" s="1273"/>
      <c r="H44" s="1274">
        <f t="shared" ref="H44:BS44" si="4">H40+H42+H38+H36+H34+H30+H32</f>
        <v>203.81223645141705</v>
      </c>
      <c r="I44" s="1275">
        <f t="shared" si="4"/>
        <v>3.3805999999999998</v>
      </c>
      <c r="J44" s="1276">
        <f t="shared" si="4"/>
        <v>-0.33340000000000003</v>
      </c>
      <c r="K44" s="1274">
        <f t="shared" si="4"/>
        <v>196.1418489607133</v>
      </c>
      <c r="L44" s="1275">
        <f t="shared" si="4"/>
        <v>3.2387999999999999</v>
      </c>
      <c r="M44" s="1276">
        <f t="shared" si="4"/>
        <v>-0.38400000000000001</v>
      </c>
      <c r="N44" s="1274">
        <f t="shared" si="4"/>
        <v>195.48054375557643</v>
      </c>
      <c r="O44" s="1275">
        <f t="shared" si="4"/>
        <v>3.2227999999999999</v>
      </c>
      <c r="P44" s="1276">
        <f t="shared" si="4"/>
        <v>-0.3548</v>
      </c>
      <c r="Q44" s="1274">
        <f t="shared" si="4"/>
        <v>192.98310155524499</v>
      </c>
      <c r="R44" s="1275">
        <f t="shared" si="4"/>
        <v>3.1791999999999998</v>
      </c>
      <c r="S44" s="1276">
        <f t="shared" si="4"/>
        <v>-0.35239999999999994</v>
      </c>
      <c r="T44" s="1274">
        <f t="shared" si="4"/>
        <v>191.67528591304293</v>
      </c>
      <c r="U44" s="1275">
        <f t="shared" si="4"/>
        <v>3.1541999999999999</v>
      </c>
      <c r="V44" s="1276">
        <f t="shared" si="4"/>
        <v>-0.35139999999999993</v>
      </c>
      <c r="W44" s="1274">
        <f t="shared" si="4"/>
        <v>195.20943823152723</v>
      </c>
      <c r="X44" s="1275">
        <f t="shared" si="4"/>
        <v>3.2183999999999995</v>
      </c>
      <c r="Y44" s="1276">
        <f t="shared" si="4"/>
        <v>-0.3468</v>
      </c>
      <c r="Z44" s="1274">
        <f t="shared" si="4"/>
        <v>205.42961315932473</v>
      </c>
      <c r="AA44" s="1275">
        <f t="shared" si="4"/>
        <v>3.4175999999999997</v>
      </c>
      <c r="AB44" s="1276">
        <f t="shared" si="4"/>
        <v>-0.42120000000000002</v>
      </c>
      <c r="AC44" s="1274">
        <f t="shared" si="4"/>
        <v>216.86143011472589</v>
      </c>
      <c r="AD44" s="1275">
        <f t="shared" si="4"/>
        <v>3.6275999999999997</v>
      </c>
      <c r="AE44" s="1276">
        <f t="shared" si="4"/>
        <v>-0.45279999999999998</v>
      </c>
      <c r="AF44" s="1274">
        <f t="shared" si="4"/>
        <v>232.59299015419006</v>
      </c>
      <c r="AG44" s="1275">
        <f t="shared" si="4"/>
        <v>3.9107999999999996</v>
      </c>
      <c r="AH44" s="1276">
        <f t="shared" si="4"/>
        <v>-0.18</v>
      </c>
      <c r="AI44" s="1274">
        <f t="shared" si="4"/>
        <v>233.83195898630393</v>
      </c>
      <c r="AJ44" s="1275">
        <f t="shared" si="4"/>
        <v>3.9243999999999999</v>
      </c>
      <c r="AK44" s="1276">
        <f t="shared" si="4"/>
        <v>-0.11400000000000002</v>
      </c>
      <c r="AL44" s="1274">
        <f t="shared" si="4"/>
        <v>230.11210920701083</v>
      </c>
      <c r="AM44" s="1275">
        <f t="shared" si="4"/>
        <v>3.8547999999999996</v>
      </c>
      <c r="AN44" s="1276">
        <f t="shared" si="4"/>
        <v>-0.152</v>
      </c>
      <c r="AO44" s="1274">
        <f t="shared" si="4"/>
        <v>227.06940837933536</v>
      </c>
      <c r="AP44" s="1275">
        <f t="shared" si="4"/>
        <v>3.8031999999999999</v>
      </c>
      <c r="AQ44" s="1276">
        <f t="shared" si="4"/>
        <v>-0.20340000000000003</v>
      </c>
      <c r="AR44" s="1274">
        <f t="shared" si="4"/>
        <v>225.93262686448975</v>
      </c>
      <c r="AS44" s="1275">
        <f t="shared" si="4"/>
        <v>3.7879999999999998</v>
      </c>
      <c r="AT44" s="1276">
        <f t="shared" si="4"/>
        <v>-0.32519999999999999</v>
      </c>
      <c r="AU44" s="1274">
        <f t="shared" si="4"/>
        <v>225.87286214196766</v>
      </c>
      <c r="AV44" s="1275">
        <f t="shared" si="4"/>
        <v>3.7905999999999995</v>
      </c>
      <c r="AW44" s="1276">
        <f t="shared" si="4"/>
        <v>-0.29359999999999997</v>
      </c>
      <c r="AX44" s="1274">
        <f t="shared" si="4"/>
        <v>227.97141119459295</v>
      </c>
      <c r="AY44" s="1275">
        <f t="shared" si="4"/>
        <v>3.8213999999999997</v>
      </c>
      <c r="AZ44" s="1276">
        <f t="shared" si="4"/>
        <v>-0.12639999999999996</v>
      </c>
      <c r="BA44" s="1274">
        <f t="shared" si="4"/>
        <v>232.6503705633059</v>
      </c>
      <c r="BB44" s="1275">
        <f t="shared" si="4"/>
        <v>3.9068000000000001</v>
      </c>
      <c r="BC44" s="1276">
        <f t="shared" si="4"/>
        <v>-0.19019999999999998</v>
      </c>
      <c r="BD44" s="1274">
        <f t="shared" si="4"/>
        <v>239.53844758637749</v>
      </c>
      <c r="BE44" s="1275">
        <f t="shared" si="4"/>
        <v>4.0310000000000006</v>
      </c>
      <c r="BF44" s="1276">
        <f t="shared" si="4"/>
        <v>-0.22340000000000002</v>
      </c>
      <c r="BG44" s="1274">
        <f t="shared" si="4"/>
        <v>238.57515095948474</v>
      </c>
      <c r="BH44" s="1275">
        <f t="shared" si="4"/>
        <v>4.0174000000000003</v>
      </c>
      <c r="BI44" s="1276">
        <f t="shared" si="4"/>
        <v>-0.2586</v>
      </c>
      <c r="BJ44" s="1274">
        <f t="shared" si="4"/>
        <v>234.10434776991593</v>
      </c>
      <c r="BK44" s="1275">
        <f t="shared" si="4"/>
        <v>3.9393999999999996</v>
      </c>
      <c r="BL44" s="1276">
        <f t="shared" si="4"/>
        <v>-0.39040000000000002</v>
      </c>
      <c r="BM44" s="1274">
        <f t="shared" si="4"/>
        <v>232.79578353797433</v>
      </c>
      <c r="BN44" s="1275">
        <f t="shared" si="4"/>
        <v>3.9149999999999996</v>
      </c>
      <c r="BO44" s="1276">
        <f t="shared" si="4"/>
        <v>-0.42020000000000002</v>
      </c>
      <c r="BP44" s="1274">
        <f t="shared" si="4"/>
        <v>230.65329476621804</v>
      </c>
      <c r="BQ44" s="1275">
        <f t="shared" si="4"/>
        <v>3.8745999999999996</v>
      </c>
      <c r="BR44" s="1276">
        <f t="shared" si="4"/>
        <v>-0.4178</v>
      </c>
      <c r="BS44" s="1274">
        <f t="shared" si="4"/>
        <v>227.90275457920785</v>
      </c>
      <c r="BT44" s="1275">
        <f t="shared" ref="BT44:CA44" si="5">BT40+BT42+BT38+BT36+BT34+BT30+BT32</f>
        <v>3.8235999999999994</v>
      </c>
      <c r="BU44" s="1276">
        <f t="shared" si="5"/>
        <v>-0.371</v>
      </c>
      <c r="BV44" s="1274">
        <f t="shared" si="5"/>
        <v>219.1461447387579</v>
      </c>
      <c r="BW44" s="1275">
        <f t="shared" si="5"/>
        <v>3.6587999999999998</v>
      </c>
      <c r="BX44" s="1276">
        <f t="shared" si="5"/>
        <v>-0.38419999999999999</v>
      </c>
      <c r="BY44" s="1274">
        <f t="shared" si="5"/>
        <v>210.46185710083321</v>
      </c>
      <c r="BZ44" s="1275">
        <f t="shared" si="5"/>
        <v>3.5030000000000001</v>
      </c>
      <c r="CA44" s="1276">
        <f t="shared" si="5"/>
        <v>-0.34740000000000004</v>
      </c>
    </row>
    <row r="45" spans="1:81" ht="13.5" thickBot="1" x14ac:dyDescent="0.25">
      <c r="A45" s="1277" t="s">
        <v>104</v>
      </c>
      <c r="B45" s="1166"/>
      <c r="C45" s="1278"/>
      <c r="D45" s="1279"/>
      <c r="E45" s="1280"/>
      <c r="F45" s="1279"/>
      <c r="G45" s="1281"/>
      <c r="H45" s="1282">
        <f t="shared" ref="H45:BS45" si="6">H43+H44</f>
        <v>430.30641222175313</v>
      </c>
      <c r="I45" s="1283">
        <f t="shared" si="6"/>
        <v>7.2525999999999993</v>
      </c>
      <c r="J45" s="1284">
        <f t="shared" si="6"/>
        <v>-0.59360000000000002</v>
      </c>
      <c r="K45" s="1282">
        <f t="shared" si="6"/>
        <v>408.04272797251951</v>
      </c>
      <c r="L45" s="1283">
        <f t="shared" si="6"/>
        <v>6.8471999999999991</v>
      </c>
      <c r="M45" s="1284">
        <f t="shared" si="6"/>
        <v>-0.74780000000000002</v>
      </c>
      <c r="N45" s="1282">
        <f t="shared" si="6"/>
        <v>403.31683497866942</v>
      </c>
      <c r="O45" s="1283">
        <f t="shared" si="6"/>
        <v>6.7535999999999996</v>
      </c>
      <c r="P45" s="1284">
        <f t="shared" si="6"/>
        <v>-0.73219999999999996</v>
      </c>
      <c r="Q45" s="1282">
        <f t="shared" si="6"/>
        <v>397.17232771736917</v>
      </c>
      <c r="R45" s="1283">
        <f t="shared" si="6"/>
        <v>6.6455999999999991</v>
      </c>
      <c r="S45" s="1284">
        <f t="shared" si="6"/>
        <v>-0.74119999999999986</v>
      </c>
      <c r="T45" s="1282">
        <f t="shared" si="6"/>
        <v>394.34219883930473</v>
      </c>
      <c r="U45" s="1283">
        <f t="shared" si="6"/>
        <v>6.5915999999999997</v>
      </c>
      <c r="V45" s="1284">
        <f t="shared" si="6"/>
        <v>-0.74539999999999995</v>
      </c>
      <c r="W45" s="1282">
        <f t="shared" si="6"/>
        <v>404.45256299156364</v>
      </c>
      <c r="X45" s="1283">
        <f t="shared" si="6"/>
        <v>6.7769999999999992</v>
      </c>
      <c r="Y45" s="1284">
        <f t="shared" si="6"/>
        <v>-0.72540000000000004</v>
      </c>
      <c r="Z45" s="1282">
        <f t="shared" si="6"/>
        <v>434.71855590239522</v>
      </c>
      <c r="AA45" s="1283">
        <f t="shared" si="6"/>
        <v>7.3465999999999996</v>
      </c>
      <c r="AB45" s="1284">
        <f t="shared" si="6"/>
        <v>-0.78879999999999995</v>
      </c>
      <c r="AC45" s="1282">
        <f t="shared" si="6"/>
        <v>466.57696726077063</v>
      </c>
      <c r="AD45" s="1283">
        <f t="shared" si="6"/>
        <v>7.9307999999999996</v>
      </c>
      <c r="AE45" s="1284">
        <f t="shared" si="6"/>
        <v>-0.81579999999999997</v>
      </c>
      <c r="AF45" s="1282">
        <f t="shared" si="6"/>
        <v>493.95843708145946</v>
      </c>
      <c r="AG45" s="1283">
        <f t="shared" si="6"/>
        <v>8.4235999999999986</v>
      </c>
      <c r="AH45" s="1284">
        <f t="shared" si="6"/>
        <v>-0.38019999999999998</v>
      </c>
      <c r="AI45" s="1282">
        <f t="shared" si="6"/>
        <v>492.45610343835563</v>
      </c>
      <c r="AJ45" s="1283">
        <f t="shared" si="6"/>
        <v>8.3830000000000009</v>
      </c>
      <c r="AK45" s="1284">
        <f t="shared" si="6"/>
        <v>-0.23960000000000001</v>
      </c>
      <c r="AL45" s="1282">
        <f t="shared" si="6"/>
        <v>491.21437196407578</v>
      </c>
      <c r="AM45" s="1283">
        <f t="shared" si="6"/>
        <v>8.3550000000000004</v>
      </c>
      <c r="AN45" s="1284">
        <f t="shared" si="6"/>
        <v>-0.24360000000000001</v>
      </c>
      <c r="AO45" s="1282">
        <f t="shared" si="6"/>
        <v>490.33375060250722</v>
      </c>
      <c r="AP45" s="1283">
        <f t="shared" si="6"/>
        <v>8.3439999999999994</v>
      </c>
      <c r="AQ45" s="1284">
        <f t="shared" si="6"/>
        <v>-0.34240000000000004</v>
      </c>
      <c r="AR45" s="1282">
        <f t="shared" si="6"/>
        <v>488.1117902340265</v>
      </c>
      <c r="AS45" s="1283">
        <f t="shared" si="6"/>
        <v>8.3149999999999995</v>
      </c>
      <c r="AT45" s="1284">
        <f t="shared" si="6"/>
        <v>-0.52100000000000002</v>
      </c>
      <c r="AU45" s="1282">
        <f t="shared" si="6"/>
        <v>486.02109568163496</v>
      </c>
      <c r="AV45" s="1283">
        <f t="shared" si="6"/>
        <v>8.2777999999999992</v>
      </c>
      <c r="AW45" s="1284">
        <f t="shared" si="6"/>
        <v>-0.41279999999999994</v>
      </c>
      <c r="AX45" s="1282">
        <f t="shared" si="6"/>
        <v>485.83224536902162</v>
      </c>
      <c r="AY45" s="1283">
        <f t="shared" si="6"/>
        <v>8.2629999999999999</v>
      </c>
      <c r="AZ45" s="1284">
        <f t="shared" si="6"/>
        <v>-0.26039999999999996</v>
      </c>
      <c r="BA45" s="1282">
        <f t="shared" si="6"/>
        <v>501.76614275221817</v>
      </c>
      <c r="BB45" s="1283">
        <f t="shared" si="6"/>
        <v>8.5546000000000006</v>
      </c>
      <c r="BC45" s="1284">
        <f t="shared" si="6"/>
        <v>-0.3332</v>
      </c>
      <c r="BD45" s="1282">
        <f t="shared" si="6"/>
        <v>519.11502854985736</v>
      </c>
      <c r="BE45" s="1283">
        <f t="shared" si="6"/>
        <v>8.8704000000000001</v>
      </c>
      <c r="BF45" s="1284">
        <f t="shared" si="6"/>
        <v>-0.43260000000000004</v>
      </c>
      <c r="BG45" s="1282">
        <f t="shared" si="6"/>
        <v>519.9002904660091</v>
      </c>
      <c r="BH45" s="1283">
        <f t="shared" si="6"/>
        <v>8.8856000000000002</v>
      </c>
      <c r="BI45" s="1284">
        <f t="shared" si="6"/>
        <v>-0.42799999999999999</v>
      </c>
      <c r="BJ45" s="1282">
        <f t="shared" si="6"/>
        <v>516.33663482053294</v>
      </c>
      <c r="BK45" s="1283">
        <f t="shared" si="6"/>
        <v>8.8285999999999998</v>
      </c>
      <c r="BL45" s="1284">
        <f t="shared" si="6"/>
        <v>-0.58479999999999999</v>
      </c>
      <c r="BM45" s="1282">
        <f t="shared" si="6"/>
        <v>520.01819599054329</v>
      </c>
      <c r="BN45" s="1283">
        <f t="shared" si="6"/>
        <v>8.8956</v>
      </c>
      <c r="BO45" s="1284">
        <f t="shared" si="6"/>
        <v>-0.64080000000000004</v>
      </c>
      <c r="BP45" s="1282">
        <f t="shared" si="6"/>
        <v>514.85852292365053</v>
      </c>
      <c r="BQ45" s="1283">
        <f t="shared" si="6"/>
        <v>8.798</v>
      </c>
      <c r="BR45" s="1284">
        <f t="shared" si="6"/>
        <v>-0.626</v>
      </c>
      <c r="BS45" s="1282">
        <f t="shared" si="6"/>
        <v>502.21200528651838</v>
      </c>
      <c r="BT45" s="1283">
        <f t="shared" ref="BT45:CA45" si="7">BT43+BT44</f>
        <v>8.5661999999999985</v>
      </c>
      <c r="BU45" s="1284">
        <f t="shared" si="7"/>
        <v>-0.57220000000000004</v>
      </c>
      <c r="BV45" s="1282">
        <f t="shared" si="7"/>
        <v>484.53891778012598</v>
      </c>
      <c r="BW45" s="1283">
        <f t="shared" si="7"/>
        <v>8.2433999999999994</v>
      </c>
      <c r="BX45" s="1284">
        <f t="shared" si="7"/>
        <v>-0.60399999999999998</v>
      </c>
      <c r="BY45" s="1282">
        <f t="shared" si="7"/>
        <v>460.65355197054225</v>
      </c>
      <c r="BZ45" s="1283">
        <f t="shared" si="7"/>
        <v>7.809400000000001</v>
      </c>
      <c r="CA45" s="1284">
        <f t="shared" si="7"/>
        <v>-0.59299999999999997</v>
      </c>
      <c r="CB45" s="1230">
        <f t="shared" ref="CB45:CC45" si="8">SUM(I45,L45,O45,R45,U45,X45,AA45,AD45,AG45,AJ45,AM45,AP45,AS45,AV45,AY45,BB45,BE45,BH45,BK45,BN45,BQ45,BT45,BW45,BZ45)</f>
        <v>191.95820000000001</v>
      </c>
      <c r="CC45" s="1230">
        <f t="shared" si="8"/>
        <v>-13.104800000000003</v>
      </c>
    </row>
    <row r="46" spans="1:81" x14ac:dyDescent="0.2">
      <c r="A46" s="1285"/>
      <c r="B46" s="1151"/>
      <c r="C46" s="1286"/>
      <c r="D46" s="1287"/>
      <c r="E46" s="1288"/>
      <c r="F46" s="1287"/>
      <c r="G46" s="1288"/>
      <c r="H46" s="1289"/>
      <c r="I46" s="1287"/>
      <c r="J46" s="1287"/>
      <c r="K46" s="1289"/>
      <c r="L46" s="1287"/>
      <c r="M46" s="1287"/>
      <c r="N46" s="1289"/>
      <c r="O46" s="1287"/>
      <c r="P46" s="1287"/>
      <c r="Q46" s="1289"/>
      <c r="R46" s="1287"/>
      <c r="S46" s="1287"/>
      <c r="T46" s="1289"/>
      <c r="U46" s="1287"/>
      <c r="V46" s="1287"/>
      <c r="W46" s="1289"/>
      <c r="X46" s="1287"/>
      <c r="Y46" s="1287"/>
      <c r="Z46" s="1289"/>
      <c r="AA46" s="1287"/>
      <c r="AB46" s="1287"/>
      <c r="AC46" s="1289"/>
      <c r="AD46" s="1287"/>
      <c r="AE46" s="1287"/>
      <c r="AF46" s="1289"/>
      <c r="AG46" s="1287"/>
      <c r="AH46" s="1287"/>
      <c r="AI46" s="1289"/>
      <c r="AJ46" s="1287"/>
      <c r="AK46" s="1287"/>
      <c r="AL46" s="1289"/>
      <c r="AM46" s="1287"/>
      <c r="AN46" s="1287"/>
      <c r="AO46" s="1289"/>
      <c r="AP46" s="1287"/>
      <c r="AQ46" s="1287"/>
      <c r="AR46" s="1289"/>
      <c r="AS46" s="1287"/>
      <c r="AT46" s="1287"/>
      <c r="AU46" s="1289"/>
      <c r="AV46" s="1287"/>
      <c r="AW46" s="1287"/>
      <c r="AX46" s="1289"/>
      <c r="AY46" s="1287"/>
      <c r="AZ46" s="1287"/>
      <c r="BA46" s="1289"/>
      <c r="BB46" s="1287"/>
      <c r="BC46" s="1287"/>
      <c r="BD46" s="1289"/>
      <c r="BE46" s="1287"/>
      <c r="BF46" s="1287"/>
      <c r="BG46" s="1289"/>
      <c r="BH46" s="1287"/>
      <c r="BI46" s="1287"/>
      <c r="BJ46" s="1289"/>
      <c r="BK46" s="1287"/>
      <c r="BL46" s="1287"/>
      <c r="BM46" s="1289"/>
      <c r="BN46" s="1287"/>
      <c r="BO46" s="1287"/>
      <c r="BP46" s="1289"/>
      <c r="BQ46" s="1287"/>
      <c r="BR46" s="1287"/>
      <c r="BS46" s="1289"/>
      <c r="BT46" s="1287"/>
      <c r="BU46" s="1287"/>
      <c r="BV46" s="1289"/>
      <c r="BW46" s="1287"/>
      <c r="BX46" s="1287"/>
      <c r="BY46" s="1289"/>
      <c r="BZ46" s="1287"/>
      <c r="CA46" s="1287"/>
    </row>
    <row r="47" spans="1:81" ht="13.5" thickBot="1" x14ac:dyDescent="0.25">
      <c r="A47" s="1195"/>
      <c r="B47" s="1079"/>
      <c r="C47" s="1079"/>
      <c r="D47" s="1079"/>
      <c r="E47" s="1290"/>
      <c r="F47" s="1079"/>
      <c r="G47" s="1291"/>
      <c r="H47" s="1292"/>
      <c r="I47" s="1293"/>
      <c r="J47" s="1214"/>
      <c r="K47" s="1294"/>
      <c r="L47" s="1295"/>
      <c r="M47" s="1295"/>
      <c r="N47" s="1294"/>
      <c r="O47" s="1295"/>
      <c r="P47" s="1295"/>
      <c r="Q47" s="1294"/>
      <c r="R47" s="1295"/>
      <c r="S47" s="1295"/>
      <c r="T47" s="1294"/>
      <c r="U47" s="1295"/>
      <c r="V47" s="1295"/>
      <c r="W47" s="1294"/>
      <c r="X47" s="1295"/>
      <c r="Y47" s="1295"/>
      <c r="Z47" s="1294"/>
      <c r="AA47" s="1295"/>
      <c r="AB47" s="1295"/>
      <c r="AC47" s="1294"/>
      <c r="AD47" s="1295"/>
      <c r="AE47" s="1295"/>
      <c r="AF47" s="1294"/>
      <c r="AG47" s="1295"/>
      <c r="AH47" s="1295"/>
      <c r="AI47" s="1294"/>
      <c r="AJ47" s="1295"/>
      <c r="AK47" s="1295"/>
      <c r="AL47" s="1294"/>
      <c r="AM47" s="1295"/>
      <c r="AN47" s="1295"/>
      <c r="AO47" s="1294"/>
      <c r="AP47" s="1295"/>
      <c r="AQ47" s="1295"/>
      <c r="AR47" s="1294"/>
      <c r="AS47" s="1295"/>
      <c r="AT47" s="1295"/>
      <c r="AU47" s="1294"/>
      <c r="AV47" s="1295"/>
      <c r="AW47" s="1295"/>
      <c r="AX47" s="1294"/>
      <c r="AY47" s="1295"/>
      <c r="AZ47" s="1295"/>
      <c r="BA47" s="1294"/>
      <c r="BB47" s="1295"/>
      <c r="BC47" s="1295"/>
      <c r="BD47" s="1294"/>
      <c r="BE47" s="1295"/>
      <c r="BF47" s="1295"/>
      <c r="BG47" s="1294"/>
      <c r="BH47" s="1295"/>
      <c r="BI47" s="1295"/>
      <c r="BJ47" s="1294"/>
      <c r="BK47" s="1295"/>
      <c r="BL47" s="1295"/>
      <c r="BM47" s="1294"/>
      <c r="BN47" s="1295"/>
      <c r="BO47" s="1295"/>
      <c r="BP47" s="1294"/>
      <c r="BQ47" s="1295"/>
      <c r="BR47" s="1295"/>
      <c r="BS47" s="1294"/>
      <c r="BT47" s="1295"/>
      <c r="BU47" s="1295"/>
      <c r="BV47" s="1294"/>
      <c r="BW47" s="1295"/>
      <c r="BX47" s="1295"/>
      <c r="BY47" s="1294"/>
      <c r="BZ47" s="1295"/>
      <c r="CA47" s="1295"/>
    </row>
    <row r="48" spans="1:81" x14ac:dyDescent="0.2">
      <c r="A48" s="1296"/>
      <c r="B48" s="1297"/>
      <c r="C48" s="1257"/>
      <c r="D48" s="1298" t="s">
        <v>45</v>
      </c>
      <c r="E48" s="1257"/>
      <c r="F48" s="1257"/>
      <c r="G48" s="1191"/>
      <c r="H48" s="1299">
        <f>$C$50/1000</f>
        <v>1.34E-2</v>
      </c>
      <c r="I48" s="1300" t="s">
        <v>2</v>
      </c>
      <c r="J48" s="1301">
        <f>$G$50/1000</f>
        <v>6.2399999999999997E-2</v>
      </c>
      <c r="K48" s="1299">
        <f>$C$50/1000</f>
        <v>1.34E-2</v>
      </c>
      <c r="L48" s="1300" t="s">
        <v>2</v>
      </c>
      <c r="M48" s="1301">
        <f>$G$50/1000</f>
        <v>6.2399999999999997E-2</v>
      </c>
      <c r="N48" s="1299">
        <f>$C$50/1000</f>
        <v>1.34E-2</v>
      </c>
      <c r="O48" s="1300" t="s">
        <v>2</v>
      </c>
      <c r="P48" s="1301">
        <f>$G$50/1000</f>
        <v>6.2399999999999997E-2</v>
      </c>
      <c r="Q48" s="1299">
        <f>$C$50/1000</f>
        <v>1.34E-2</v>
      </c>
      <c r="R48" s="1300" t="s">
        <v>2</v>
      </c>
      <c r="S48" s="1301">
        <f>$G$50/1000</f>
        <v>6.2399999999999997E-2</v>
      </c>
      <c r="T48" s="1299">
        <f>$C$50/1000</f>
        <v>1.34E-2</v>
      </c>
      <c r="U48" s="1300" t="s">
        <v>2</v>
      </c>
      <c r="V48" s="1301">
        <f>$G$50/1000</f>
        <v>6.2399999999999997E-2</v>
      </c>
      <c r="W48" s="1299">
        <f>$C$50/1000</f>
        <v>1.34E-2</v>
      </c>
      <c r="X48" s="1300" t="s">
        <v>2</v>
      </c>
      <c r="Y48" s="1301">
        <f>$G$50/1000</f>
        <v>6.2399999999999997E-2</v>
      </c>
      <c r="Z48" s="1299">
        <f>$C$50/1000</f>
        <v>1.34E-2</v>
      </c>
      <c r="AA48" s="1300" t="s">
        <v>2</v>
      </c>
      <c r="AB48" s="1301">
        <f>$G$50/1000</f>
        <v>6.2399999999999997E-2</v>
      </c>
      <c r="AC48" s="1299">
        <f>$C$50/1000</f>
        <v>1.34E-2</v>
      </c>
      <c r="AD48" s="1300" t="s">
        <v>2</v>
      </c>
      <c r="AE48" s="1301">
        <f>$G$50/1000</f>
        <v>6.2399999999999997E-2</v>
      </c>
      <c r="AF48" s="1299">
        <f>$C$50/1000</f>
        <v>1.34E-2</v>
      </c>
      <c r="AG48" s="1300" t="s">
        <v>2</v>
      </c>
      <c r="AH48" s="1301">
        <f>$G$50/1000</f>
        <v>6.2399999999999997E-2</v>
      </c>
      <c r="AI48" s="1299">
        <f>$C$50/1000</f>
        <v>1.34E-2</v>
      </c>
      <c r="AJ48" s="1300" t="s">
        <v>2</v>
      </c>
      <c r="AK48" s="1301">
        <f>$G$50/1000</f>
        <v>6.2399999999999997E-2</v>
      </c>
      <c r="AL48" s="1299">
        <f>$C$50/1000</f>
        <v>1.34E-2</v>
      </c>
      <c r="AM48" s="1300" t="s">
        <v>2</v>
      </c>
      <c r="AN48" s="1301">
        <f>$G$50/1000</f>
        <v>6.2399999999999997E-2</v>
      </c>
      <c r="AO48" s="1299">
        <f>$C$50/1000</f>
        <v>1.34E-2</v>
      </c>
      <c r="AP48" s="1300" t="s">
        <v>2</v>
      </c>
      <c r="AQ48" s="1301">
        <f>$G$50/1000</f>
        <v>6.2399999999999997E-2</v>
      </c>
      <c r="AR48" s="1299">
        <f>$C$50/1000</f>
        <v>1.34E-2</v>
      </c>
      <c r="AS48" s="1300" t="s">
        <v>2</v>
      </c>
      <c r="AT48" s="1301">
        <f>$G$50/1000</f>
        <v>6.2399999999999997E-2</v>
      </c>
      <c r="AU48" s="1299">
        <f>$C$50/1000</f>
        <v>1.34E-2</v>
      </c>
      <c r="AV48" s="1300" t="s">
        <v>2</v>
      </c>
      <c r="AW48" s="1301">
        <f>$G$50/1000</f>
        <v>6.2399999999999997E-2</v>
      </c>
      <c r="AX48" s="1299">
        <f>$C$50/1000</f>
        <v>1.34E-2</v>
      </c>
      <c r="AY48" s="1300" t="s">
        <v>2</v>
      </c>
      <c r="AZ48" s="1301">
        <f>$G$50/1000</f>
        <v>6.2399999999999997E-2</v>
      </c>
      <c r="BA48" s="1299">
        <f>$C$50/1000</f>
        <v>1.34E-2</v>
      </c>
      <c r="BB48" s="1300" t="s">
        <v>2</v>
      </c>
      <c r="BC48" s="1301">
        <f>$G$50/1000</f>
        <v>6.2399999999999997E-2</v>
      </c>
      <c r="BD48" s="1299">
        <f>$C$50/1000</f>
        <v>1.34E-2</v>
      </c>
      <c r="BE48" s="1300" t="s">
        <v>2</v>
      </c>
      <c r="BF48" s="1301">
        <f>$G$50/1000</f>
        <v>6.2399999999999997E-2</v>
      </c>
      <c r="BG48" s="1299">
        <f>$C$50/1000</f>
        <v>1.34E-2</v>
      </c>
      <c r="BH48" s="1300" t="s">
        <v>2</v>
      </c>
      <c r="BI48" s="1301">
        <f>$G$50/1000</f>
        <v>6.2399999999999997E-2</v>
      </c>
      <c r="BJ48" s="1299">
        <f>$C$50/1000</f>
        <v>1.34E-2</v>
      </c>
      <c r="BK48" s="1300" t="s">
        <v>2</v>
      </c>
      <c r="BL48" s="1301">
        <f>$G$50/1000</f>
        <v>6.2399999999999997E-2</v>
      </c>
      <c r="BM48" s="1299">
        <f>$C$50/1000</f>
        <v>1.34E-2</v>
      </c>
      <c r="BN48" s="1300" t="s">
        <v>2</v>
      </c>
      <c r="BO48" s="1301">
        <f>$G$50/1000</f>
        <v>6.2399999999999997E-2</v>
      </c>
      <c r="BP48" s="1299">
        <f>$C$50/1000</f>
        <v>1.34E-2</v>
      </c>
      <c r="BQ48" s="1300" t="s">
        <v>2</v>
      </c>
      <c r="BR48" s="1301">
        <f>$G$50/1000</f>
        <v>6.2399999999999997E-2</v>
      </c>
      <c r="BS48" s="1299">
        <f>$C$50/1000</f>
        <v>1.34E-2</v>
      </c>
      <c r="BT48" s="1300" t="s">
        <v>2</v>
      </c>
      <c r="BU48" s="1301">
        <f>$G$50/1000</f>
        <v>6.2399999999999997E-2</v>
      </c>
      <c r="BV48" s="1299">
        <f>$C$50/1000</f>
        <v>1.34E-2</v>
      </c>
      <c r="BW48" s="1300" t="s">
        <v>2</v>
      </c>
      <c r="BX48" s="1301">
        <f>$G$50/1000</f>
        <v>6.2399999999999997E-2</v>
      </c>
      <c r="BY48" s="1299">
        <f>$C$50/1000</f>
        <v>1.34E-2</v>
      </c>
      <c r="BZ48" s="1300" t="s">
        <v>2</v>
      </c>
      <c r="CA48" s="1301">
        <f>$G$50/1000</f>
        <v>6.2399999999999997E-2</v>
      </c>
    </row>
    <row r="49" spans="1:256" ht="13.5" thickBot="1" x14ac:dyDescent="0.25">
      <c r="A49" s="1302" t="s">
        <v>0</v>
      </c>
      <c r="B49" s="1303" t="s">
        <v>23</v>
      </c>
      <c r="C49" s="1304"/>
      <c r="D49" s="1304" t="s">
        <v>24</v>
      </c>
      <c r="E49" s="1305"/>
      <c r="F49" s="1306"/>
      <c r="G49" s="1134"/>
      <c r="H49" s="1307">
        <f>((I9^2+J9^2)*$G$51/1000)/$C$10^2</f>
        <v>4.528014760546875E-3</v>
      </c>
      <c r="I49" s="1308" t="s">
        <v>2</v>
      </c>
      <c r="J49" s="1309">
        <f>((I9^2+J9^2)*$O$51)/(100*$C$10)</f>
        <v>0.10295772806249999</v>
      </c>
      <c r="K49" s="1307">
        <f>((L9^2+M9^2)*$G$51/1000)/$C$10^2</f>
        <v>3.945034838671875E-3</v>
      </c>
      <c r="L49" s="1308" t="s">
        <v>2</v>
      </c>
      <c r="M49" s="1309">
        <f>((L9^2+M9^2)*$O$51)/(100*$C$10)</f>
        <v>8.97019655625E-2</v>
      </c>
      <c r="N49" s="1307">
        <f>((O9^2+P9^2)*$G$51/1000)/$C$10^2</f>
        <v>3.7805250234375005E-3</v>
      </c>
      <c r="O49" s="1308" t="s">
        <v>2</v>
      </c>
      <c r="P49" s="1309">
        <f>((O9^2+P9^2)*$O$51)/(100*$C$10)</f>
        <v>8.5961351249999998E-2</v>
      </c>
      <c r="Q49" s="1307">
        <f>((R9^2+S9^2)*$G$51/1000)/$C$10^2</f>
        <v>3.6500286621093747E-3</v>
      </c>
      <c r="R49" s="1308" t="s">
        <v>2</v>
      </c>
      <c r="S49" s="1309">
        <f>((R9^2+S9^2)*$O$51)/(100*$C$10)</f>
        <v>8.2994132812499982E-2</v>
      </c>
      <c r="T49" s="1307">
        <f>((U9^2+V9^2)*$G$51/1000)/$C$10^2</f>
        <v>3.5880095214843749E-3</v>
      </c>
      <c r="U49" s="1308" t="s">
        <v>2</v>
      </c>
      <c r="V49" s="1309">
        <f>((U9^2+V9^2)*$O$51)/(100*$C$10)</f>
        <v>8.1583945312500003E-2</v>
      </c>
      <c r="W49" s="1307">
        <f>((X9^2+Y9^2)*$G$51/1000)/$C$10^2</f>
        <v>3.8427383109374993E-3</v>
      </c>
      <c r="X49" s="1308" t="s">
        <v>2</v>
      </c>
      <c r="Y49" s="1309">
        <f>((X9^2+Y9^2)*$O$51)/(100*$C$10)</f>
        <v>8.7375953249999985E-2</v>
      </c>
      <c r="Z49" s="1307">
        <f>((AA9^2+AB9^2)*$G$51/1000)/$C$10^2</f>
        <v>4.659592412109375E-3</v>
      </c>
      <c r="AA49" s="1308" t="s">
        <v>2</v>
      </c>
      <c r="AB49" s="1309">
        <f>((AA9^2+AB9^2)*$O$51)/(100*$C$10)</f>
        <v>0.1059495328125</v>
      </c>
      <c r="AC49" s="1307">
        <f>((AD9^2+AE9^2)*$G$51/1000)/$C$10^2</f>
        <v>5.5926299355468743E-3</v>
      </c>
      <c r="AD49" s="1308" t="s">
        <v>2</v>
      </c>
      <c r="AE49" s="1309">
        <f>((AD9^2+AE9^2)*$O$51)/(100*$C$10)</f>
        <v>0.12716488406249998</v>
      </c>
      <c r="AF49" s="1307">
        <f>((AG9^2+AH9^2)*$G$51/1000)/$C$10^2</f>
        <v>6.127666365234377E-3</v>
      </c>
      <c r="AG49" s="1308" t="s">
        <v>2</v>
      </c>
      <c r="AH49" s="1309">
        <f>((AG9^2+AH9^2)*$O$51)/(100*$C$10)</f>
        <v>0.13933051031250002</v>
      </c>
      <c r="AI49" s="1307">
        <f>((AJ9^2+AK9^2)*$G$51/1000)/$C$10^2</f>
        <v>5.9789822167968755E-3</v>
      </c>
      <c r="AJ49" s="1308" t="s">
        <v>2</v>
      </c>
      <c r="AK49" s="1309">
        <f>((AJ9^2+AK9^2)*$O$51)/(100*$C$10)</f>
        <v>0.13594973906250002</v>
      </c>
      <c r="AL49" s="1307">
        <f>((AM9^2+AN9^2)*$G$51/1000)/$C$10^2</f>
        <v>6.0881682621093747E-3</v>
      </c>
      <c r="AM49" s="1308" t="s">
        <v>2</v>
      </c>
      <c r="AN49" s="1309">
        <f>((AM9^2+AN9^2)*$O$51)/(100*$C$10)</f>
        <v>0.13843240481249997</v>
      </c>
      <c r="AO49" s="1307">
        <f>((AP9^2+AQ9^2)*$G$51/1000)/$C$10^2</f>
        <v>6.1965885058593746E-3</v>
      </c>
      <c r="AP49" s="1308" t="s">
        <v>2</v>
      </c>
      <c r="AQ49" s="1309">
        <f>((AP9^2+AQ9^2)*$O$51)/(100*$C$10)</f>
        <v>0.14089765781249999</v>
      </c>
      <c r="AR49" s="1307">
        <f>((AS9^2+AT9^2)*$G$51/1000)/$C$10^2</f>
        <v>6.1695238921875006E-3</v>
      </c>
      <c r="AS49" s="1308" t="s">
        <v>2</v>
      </c>
      <c r="AT49" s="1309">
        <f>((AS9^2+AT9^2)*$O$51)/(100*$C$10)</f>
        <v>0.14028226425000001</v>
      </c>
      <c r="AU49" s="1307">
        <f>((AV9^2+AW9^2)*$G$51/1000)/$C$10^2</f>
        <v>6.0570076886718753E-3</v>
      </c>
      <c r="AV49" s="1308" t="s">
        <v>2</v>
      </c>
      <c r="AW49" s="1309">
        <f>((AV9^2+AW9^2)*$O$51)/(100*$C$10)</f>
        <v>0.13772387756250001</v>
      </c>
      <c r="AX49" s="1307">
        <f>((AY9^2+AZ9^2)*$G$51/1000)/$C$10^2</f>
        <v>5.9334439886718753E-3</v>
      </c>
      <c r="AY49" s="1308" t="s">
        <v>2</v>
      </c>
      <c r="AZ49" s="1309">
        <f>((AY9^2+AZ9^2)*$O$51)/(100*$C$10)</f>
        <v>0.13491429356250001</v>
      </c>
      <c r="BA49" s="1307">
        <f>((BB9^2+BC9^2)*$G$51/1000)/$C$10^2</f>
        <v>6.4985084683593765E-3</v>
      </c>
      <c r="BB49" s="1308" t="s">
        <v>2</v>
      </c>
      <c r="BC49" s="1309">
        <f>((BB9^2+BC9^2)*$O$51)/(100*$C$10)</f>
        <v>0.14776269581250004</v>
      </c>
      <c r="BD49" s="1307">
        <f>((BE9^2+BF9^2)*$G$51/1000)/$C$10^2</f>
        <v>7.0357883730468749E-3</v>
      </c>
      <c r="BE49" s="1308" t="s">
        <v>2</v>
      </c>
      <c r="BF49" s="1309">
        <f>((BE9^2+BF9^2)*$O$51)/(100*$C$10)</f>
        <v>0.15997933406250003</v>
      </c>
      <c r="BG49" s="1307">
        <f>((BH9^2+BI9^2)*$G$51/1000)/$C$10^2</f>
        <v>7.1285690074218743E-3</v>
      </c>
      <c r="BH49" s="1308" t="s">
        <v>2</v>
      </c>
      <c r="BI49" s="1309">
        <f>((BH9^2+BI9^2)*$O$51)/(100*$C$10)</f>
        <v>0.16208897456249999</v>
      </c>
      <c r="BJ49" s="1307">
        <f>((BK9^2+BL9^2)*$G$51/1000)/$C$10^2</f>
        <v>7.1823800496093769E-3</v>
      </c>
      <c r="BK49" s="1308" t="s">
        <v>2</v>
      </c>
      <c r="BL49" s="1309">
        <f>((BK9^2+BL9^2)*$O$51)/(100*$C$10)</f>
        <v>0.16331252681250003</v>
      </c>
      <c r="BM49" s="1307">
        <f>((BN9^2+BO9^2)*$G$51/1000)/$C$10^2</f>
        <v>7.4590285605468766E-3</v>
      </c>
      <c r="BN49" s="1308" t="s">
        <v>2</v>
      </c>
      <c r="BO49" s="1309">
        <f>((BN9^2+BO9^2)*$O$51)/(100*$C$10)</f>
        <v>0.16960294406250004</v>
      </c>
      <c r="BP49" s="1307">
        <f>((BQ9^2+BR9^2)*$G$51/1000)/$C$10^2</f>
        <v>7.2900102234374998E-3</v>
      </c>
      <c r="BQ49" s="1308" t="s">
        <v>2</v>
      </c>
      <c r="BR49" s="1309">
        <f>((BQ9^2+BR9^2)*$O$51)/(100*$C$10)</f>
        <v>0.16575981525</v>
      </c>
      <c r="BS49" s="1307">
        <f>((BT9^2+BU9^2)*$G$51/1000)/$C$10^2</f>
        <v>6.7690494421875011E-3</v>
      </c>
      <c r="BT49" s="1308" t="s">
        <v>2</v>
      </c>
      <c r="BU49" s="1309">
        <f>((BT9^2+BU9^2)*$O$51)/(100*$C$10)</f>
        <v>0.15391424025000003</v>
      </c>
      <c r="BV49" s="1307">
        <f>((BW9^2+BX9^2)*$G$51/1000)/$C$10^2</f>
        <v>6.3136698574218757E-3</v>
      </c>
      <c r="BW49" s="1308" t="s">
        <v>2</v>
      </c>
      <c r="BX49" s="1309">
        <f>((BW9^2+BX9^2)*$O$51)/(100*$C$10)</f>
        <v>0.14355984656250001</v>
      </c>
      <c r="BY49" s="1307">
        <f>((BZ9^2+CA9^2)*$G$51/1000)/$C$10^2</f>
        <v>5.5895802117187495E-3</v>
      </c>
      <c r="BZ49" s="1308" t="s">
        <v>2</v>
      </c>
      <c r="CA49" s="1309">
        <f>((BZ9^2+CA9^2)*$O$51)/(100*$C$10)</f>
        <v>0.127095539625</v>
      </c>
    </row>
    <row r="50" spans="1:256" x14ac:dyDescent="0.2">
      <c r="A50" s="1149"/>
      <c r="B50" s="1310" t="s">
        <v>304</v>
      </c>
      <c r="C50" s="1311">
        <v>13.4</v>
      </c>
      <c r="D50" s="1312"/>
      <c r="E50" s="1312"/>
      <c r="F50" s="1313" t="s">
        <v>305</v>
      </c>
      <c r="G50" s="1422">
        <v>62.4</v>
      </c>
      <c r="H50" s="1124"/>
      <c r="I50" s="1125"/>
      <c r="J50" s="1315"/>
      <c r="K50" s="1124"/>
      <c r="L50" s="1125"/>
      <c r="M50" s="1315"/>
      <c r="N50" s="1319"/>
      <c r="O50" s="1320"/>
      <c r="P50" s="1315"/>
      <c r="Q50" s="1124"/>
      <c r="R50" s="1125"/>
      <c r="S50" s="1315"/>
      <c r="T50" s="1124"/>
      <c r="U50" s="1125"/>
      <c r="V50" s="1315"/>
      <c r="W50" s="1124"/>
      <c r="X50" s="1125"/>
      <c r="Y50" s="1315"/>
      <c r="Z50" s="1124"/>
      <c r="AA50" s="1125"/>
      <c r="AB50" s="1315"/>
      <c r="AC50" s="1124"/>
      <c r="AD50" s="1125"/>
      <c r="AE50" s="1315"/>
      <c r="AF50" s="1124"/>
      <c r="AG50" s="1125"/>
      <c r="AH50" s="1315"/>
      <c r="AI50" s="1124"/>
      <c r="AJ50" s="1125"/>
      <c r="AK50" s="1315"/>
      <c r="AL50" s="1124"/>
      <c r="AM50" s="1125"/>
      <c r="AN50" s="1315"/>
      <c r="AO50" s="1124"/>
      <c r="AP50" s="1125"/>
      <c r="AQ50" s="1315"/>
      <c r="AR50" s="1124"/>
      <c r="AS50" s="1125"/>
      <c r="AT50" s="1315"/>
      <c r="AU50" s="1124"/>
      <c r="AV50" s="1125"/>
      <c r="AW50" s="1315"/>
      <c r="AX50" s="1124"/>
      <c r="AY50" s="1125"/>
      <c r="AZ50" s="1315"/>
      <c r="BA50" s="1124"/>
      <c r="BB50" s="1125"/>
      <c r="BC50" s="1315"/>
      <c r="BD50" s="1124"/>
      <c r="BE50" s="1125"/>
      <c r="BF50" s="1315"/>
      <c r="BG50" s="1124"/>
      <c r="BH50" s="1125"/>
      <c r="BI50" s="1315"/>
      <c r="BJ50" s="1124"/>
      <c r="BK50" s="1125"/>
      <c r="BL50" s="1315"/>
      <c r="BM50" s="1124"/>
      <c r="BN50" s="1125"/>
      <c r="BO50" s="1315"/>
      <c r="BP50" s="1124"/>
      <c r="BQ50" s="1125"/>
      <c r="BR50" s="1315"/>
      <c r="BS50" s="1124"/>
      <c r="BT50" s="1125"/>
      <c r="BU50" s="1315"/>
      <c r="BV50" s="1124"/>
      <c r="BW50" s="1125"/>
      <c r="BX50" s="1315"/>
      <c r="BY50" s="1124"/>
      <c r="BZ50" s="1125"/>
      <c r="CA50" s="1315"/>
    </row>
    <row r="51" spans="1:256" ht="13.5" thickBot="1" x14ac:dyDescent="0.25">
      <c r="A51" s="1149"/>
      <c r="B51" s="1322"/>
      <c r="C51" s="1323"/>
      <c r="D51" s="1324"/>
      <c r="E51" s="1325" t="s">
        <v>57</v>
      </c>
      <c r="F51" s="1326"/>
      <c r="G51" s="1423">
        <v>76.7</v>
      </c>
      <c r="H51" s="1206"/>
      <c r="I51" s="1328"/>
      <c r="J51" s="1329"/>
      <c r="K51" s="1206"/>
      <c r="L51" s="1328"/>
      <c r="M51" s="1329"/>
      <c r="N51" s="1206" t="s">
        <v>56</v>
      </c>
      <c r="O51" s="1328">
        <v>10.9</v>
      </c>
      <c r="P51" s="1329"/>
      <c r="Q51" s="1206"/>
      <c r="R51" s="1328"/>
      <c r="S51" s="1329"/>
      <c r="T51" s="1206"/>
      <c r="U51" s="1328"/>
      <c r="V51" s="1329"/>
      <c r="W51" s="1206"/>
      <c r="X51" s="1328"/>
      <c r="Y51" s="1329"/>
      <c r="Z51" s="1206"/>
      <c r="AA51" s="1328"/>
      <c r="AB51" s="1329"/>
      <c r="AC51" s="1206"/>
      <c r="AD51" s="1328"/>
      <c r="AE51" s="1329"/>
      <c r="AF51" s="1206"/>
      <c r="AG51" s="1328"/>
      <c r="AH51" s="1329"/>
      <c r="AI51" s="1206"/>
      <c r="AJ51" s="1328"/>
      <c r="AK51" s="1329"/>
      <c r="AL51" s="1206"/>
      <c r="AM51" s="1328"/>
      <c r="AN51" s="1329"/>
      <c r="AO51" s="1206"/>
      <c r="AP51" s="1328"/>
      <c r="AQ51" s="1329"/>
      <c r="AR51" s="1206"/>
      <c r="AS51" s="1328"/>
      <c r="AT51" s="1329"/>
      <c r="AU51" s="1206"/>
      <c r="AV51" s="1328"/>
      <c r="AW51" s="1329"/>
      <c r="AX51" s="1206"/>
      <c r="AY51" s="1328"/>
      <c r="AZ51" s="1329"/>
      <c r="BA51" s="1206"/>
      <c r="BB51" s="1328"/>
      <c r="BC51" s="1329"/>
      <c r="BD51" s="1206"/>
      <c r="BE51" s="1328"/>
      <c r="BF51" s="1329"/>
      <c r="BG51" s="1206"/>
      <c r="BH51" s="1328"/>
      <c r="BI51" s="1329"/>
      <c r="BJ51" s="1206"/>
      <c r="BK51" s="1328"/>
      <c r="BL51" s="1329"/>
      <c r="BM51" s="1206"/>
      <c r="BN51" s="1328"/>
      <c r="BO51" s="1329"/>
      <c r="BP51" s="1206"/>
      <c r="BQ51" s="1328"/>
      <c r="BR51" s="1329"/>
      <c r="BS51" s="1206"/>
      <c r="BT51" s="1328"/>
      <c r="BU51" s="1329"/>
      <c r="BV51" s="1206"/>
      <c r="BW51" s="1328"/>
      <c r="BX51" s="1329"/>
      <c r="BY51" s="1206"/>
      <c r="BZ51" s="1328"/>
      <c r="CA51" s="1329"/>
    </row>
    <row r="52" spans="1:256" ht="13.5" thickBot="1" x14ac:dyDescent="0.25">
      <c r="A52" s="1332"/>
      <c r="B52" s="2406" t="s">
        <v>29</v>
      </c>
      <c r="C52" s="2407"/>
      <c r="D52" s="2407"/>
      <c r="E52" s="2407"/>
      <c r="F52" s="2407"/>
      <c r="G52" s="2408"/>
      <c r="H52" s="1333">
        <f>I8</f>
        <v>3.8346</v>
      </c>
      <c r="I52" s="1334" t="s">
        <v>2</v>
      </c>
      <c r="J52" s="1335">
        <f>J8</f>
        <v>2.6399999999999993E-2</v>
      </c>
      <c r="K52" s="1333">
        <f>L8</f>
        <v>3.5838000000000001</v>
      </c>
      <c r="L52" s="1334" t="s">
        <v>2</v>
      </c>
      <c r="M52" s="1335">
        <f>M8</f>
        <v>0.25739999999999996</v>
      </c>
      <c r="N52" s="1333">
        <f>O8</f>
        <v>3.5013000000000001</v>
      </c>
      <c r="O52" s="1334" t="s">
        <v>2</v>
      </c>
      <c r="P52" s="1335">
        <f>P8</f>
        <v>0.29699999999999999</v>
      </c>
      <c r="Q52" s="1333">
        <f>R8</f>
        <v>3.4353000000000002</v>
      </c>
      <c r="R52" s="1334" t="s">
        <v>2</v>
      </c>
      <c r="S52" s="1335">
        <f>S8</f>
        <v>0.33989999999999998</v>
      </c>
      <c r="T52" s="1333">
        <f>U8</f>
        <v>3.4155000000000002</v>
      </c>
      <c r="U52" s="1334" t="s">
        <v>2</v>
      </c>
      <c r="V52" s="1335">
        <f>V8</f>
        <v>0.34649999999999997</v>
      </c>
      <c r="W52" s="1333">
        <f>X8</f>
        <v>3.5276999999999998</v>
      </c>
      <c r="X52" s="1334" t="s">
        <v>2</v>
      </c>
      <c r="Y52" s="1335">
        <f>Y8</f>
        <v>0.33660000000000001</v>
      </c>
      <c r="Z52" s="1333">
        <f>AA8</f>
        <v>3.8906999999999998</v>
      </c>
      <c r="AA52" s="1334" t="s">
        <v>2</v>
      </c>
      <c r="AB52" s="1335">
        <f>AB8</f>
        <v>0.20130000000000001</v>
      </c>
      <c r="AC52" s="1333">
        <f>AD8</f>
        <v>4.2702000000000009</v>
      </c>
      <c r="AD52" s="1334" t="s">
        <v>2</v>
      </c>
      <c r="AE52" s="1335">
        <f>AE8</f>
        <v>2.9700000000000018E-2</v>
      </c>
      <c r="AF52" s="1333">
        <f>AG8</f>
        <v>4.4648999999999992</v>
      </c>
      <c r="AG52" s="1334" t="s">
        <v>2</v>
      </c>
      <c r="AH52" s="1335">
        <f>AH8</f>
        <v>-0.19469999999999998</v>
      </c>
      <c r="AI52" s="1333">
        <f>AJ8</f>
        <v>4.4154</v>
      </c>
      <c r="AJ52" s="1334" t="s">
        <v>2</v>
      </c>
      <c r="AK52" s="1335">
        <f>AK8</f>
        <v>-0.23760000000000003</v>
      </c>
      <c r="AL52" s="1333">
        <f>AM8</f>
        <v>4.4616000000000007</v>
      </c>
      <c r="AM52" s="1334" t="s">
        <v>2</v>
      </c>
      <c r="AN52" s="1335">
        <f>AN8</f>
        <v>-0.34320000000000001</v>
      </c>
      <c r="AO52" s="1333">
        <f>AP8</f>
        <v>4.491299999999999</v>
      </c>
      <c r="AP52" s="1334" t="s">
        <v>2</v>
      </c>
      <c r="AQ52" s="1335">
        <f>AQ8</f>
        <v>-0.25080000000000002</v>
      </c>
      <c r="AR52" s="1333">
        <f>AS8</f>
        <v>4.4912999999999998</v>
      </c>
      <c r="AS52" s="1334" t="s">
        <v>2</v>
      </c>
      <c r="AT52" s="1335">
        <f>AT8</f>
        <v>-0.16830000000000001</v>
      </c>
      <c r="AU52" s="1333">
        <f>AV8</f>
        <v>4.4451000000000001</v>
      </c>
      <c r="AV52" s="1334" t="s">
        <v>2</v>
      </c>
      <c r="AW52" s="1335">
        <f>AW8</f>
        <v>-0.27389999999999998</v>
      </c>
      <c r="AX52" s="1333">
        <f>AY8</f>
        <v>4.3988999999999994</v>
      </c>
      <c r="AY52" s="1334" t="s">
        <v>2</v>
      </c>
      <c r="AZ52" s="1335">
        <f>AZ8</f>
        <v>-0.2442</v>
      </c>
      <c r="BA52" s="1333">
        <f>BB8</f>
        <v>4.6035000000000004</v>
      </c>
      <c r="BB52" s="1334" t="s">
        <v>2</v>
      </c>
      <c r="BC52" s="1335">
        <f>BC8</f>
        <v>-0.26069999999999999</v>
      </c>
      <c r="BD52" s="1333">
        <f>BE8</f>
        <v>4.7948999999999993</v>
      </c>
      <c r="BE52" s="1334" t="s">
        <v>2</v>
      </c>
      <c r="BF52" s="1335">
        <f>BF8</f>
        <v>-0.1782</v>
      </c>
      <c r="BG52" s="1333">
        <f>BH8</f>
        <v>4.8179999999999996</v>
      </c>
      <c r="BH52" s="1334" t="s">
        <v>2</v>
      </c>
      <c r="BI52" s="1335">
        <f>BI8</f>
        <v>-0.2442</v>
      </c>
      <c r="BJ52" s="1333">
        <f>BK8</f>
        <v>4.8443999999999994</v>
      </c>
      <c r="BK52" s="1334" t="s">
        <v>2</v>
      </c>
      <c r="BL52" s="1335">
        <f>BL8</f>
        <v>-0.22109999999999999</v>
      </c>
      <c r="BM52" s="1333">
        <f>BN8</f>
        <v>4.9302000000000001</v>
      </c>
      <c r="BN52" s="1334" t="s">
        <v>2</v>
      </c>
      <c r="BO52" s="1335">
        <f>BO8</f>
        <v>-0.2475</v>
      </c>
      <c r="BP52" s="1333">
        <f>BQ8</f>
        <v>4.8741000000000003</v>
      </c>
      <c r="BQ52" s="1334" t="s">
        <v>2</v>
      </c>
      <c r="BR52" s="1335">
        <f>BR8</f>
        <v>-0.2409</v>
      </c>
      <c r="BS52" s="1333">
        <f>BT8</f>
        <v>4.7024999999999997</v>
      </c>
      <c r="BT52" s="1334" t="s">
        <v>2</v>
      </c>
      <c r="BU52" s="1335">
        <f>BU8</f>
        <v>-0.20130000000000001</v>
      </c>
      <c r="BV52" s="1333">
        <f>BW8</f>
        <v>4.5374999999999996</v>
      </c>
      <c r="BW52" s="1334" t="s">
        <v>2</v>
      </c>
      <c r="BX52" s="1335">
        <f>BX8</f>
        <v>-0.16169999999999998</v>
      </c>
      <c r="BY52" s="1333">
        <f>BZ8</f>
        <v>4.2636000000000003</v>
      </c>
      <c r="BZ52" s="1334" t="s">
        <v>2</v>
      </c>
      <c r="CA52" s="1335">
        <f>CA8</f>
        <v>-6.93E-2</v>
      </c>
    </row>
    <row r="53" spans="1:256" x14ac:dyDescent="0.2">
      <c r="A53" s="1336"/>
      <c r="B53" s="1297" t="s">
        <v>22</v>
      </c>
      <c r="C53" s="1257"/>
      <c r="D53" s="1298" t="s">
        <v>45</v>
      </c>
      <c r="E53" s="1257"/>
      <c r="F53" s="1257"/>
      <c r="G53" s="1257"/>
      <c r="H53" s="1299">
        <f>$C$55/1000</f>
        <v>1.9E-2</v>
      </c>
      <c r="I53" s="1300" t="s">
        <v>2</v>
      </c>
      <c r="J53" s="1301">
        <f>$G$55/1000</f>
        <v>8.3839999999999998E-2</v>
      </c>
      <c r="K53" s="1299">
        <f>$C$55/1000</f>
        <v>1.9E-2</v>
      </c>
      <c r="L53" s="1300" t="s">
        <v>2</v>
      </c>
      <c r="M53" s="1301">
        <f>$G$55/1000</f>
        <v>8.3839999999999998E-2</v>
      </c>
      <c r="N53" s="1299">
        <f>$C$55/1000</f>
        <v>1.9E-2</v>
      </c>
      <c r="O53" s="1300" t="s">
        <v>2</v>
      </c>
      <c r="P53" s="1301">
        <f>$G$55/1000</f>
        <v>8.3839999999999998E-2</v>
      </c>
      <c r="Q53" s="1299">
        <f>$C$55/1000</f>
        <v>1.9E-2</v>
      </c>
      <c r="R53" s="1300" t="s">
        <v>2</v>
      </c>
      <c r="S53" s="1301">
        <f>$G$55/1000</f>
        <v>8.3839999999999998E-2</v>
      </c>
      <c r="T53" s="1299">
        <f>$C$55/1000</f>
        <v>1.9E-2</v>
      </c>
      <c r="U53" s="1300" t="s">
        <v>2</v>
      </c>
      <c r="V53" s="1301">
        <f>$G$55/1000</f>
        <v>8.3839999999999998E-2</v>
      </c>
      <c r="W53" s="1299">
        <f>$C$55/1000</f>
        <v>1.9E-2</v>
      </c>
      <c r="X53" s="1300" t="s">
        <v>2</v>
      </c>
      <c r="Y53" s="1301">
        <f>$G$55/1000</f>
        <v>8.3839999999999998E-2</v>
      </c>
      <c r="Z53" s="1299">
        <f>$C$55/1000</f>
        <v>1.9E-2</v>
      </c>
      <c r="AA53" s="1300" t="s">
        <v>2</v>
      </c>
      <c r="AB53" s="1301">
        <f>$G$55/1000</f>
        <v>8.3839999999999998E-2</v>
      </c>
      <c r="AC53" s="1299">
        <f>$C$55/1000</f>
        <v>1.9E-2</v>
      </c>
      <c r="AD53" s="1300" t="s">
        <v>2</v>
      </c>
      <c r="AE53" s="1301">
        <f>$G$55/1000</f>
        <v>8.3839999999999998E-2</v>
      </c>
      <c r="AF53" s="1299">
        <f>$C$55/1000</f>
        <v>1.9E-2</v>
      </c>
      <c r="AG53" s="1300" t="s">
        <v>2</v>
      </c>
      <c r="AH53" s="1301">
        <f>$G$55/1000</f>
        <v>8.3839999999999998E-2</v>
      </c>
      <c r="AI53" s="1299">
        <f>$C$55/1000</f>
        <v>1.9E-2</v>
      </c>
      <c r="AJ53" s="1300" t="s">
        <v>2</v>
      </c>
      <c r="AK53" s="1301">
        <f>$G$55/1000</f>
        <v>8.3839999999999998E-2</v>
      </c>
      <c r="AL53" s="1299">
        <f>$C$55/1000</f>
        <v>1.9E-2</v>
      </c>
      <c r="AM53" s="1300" t="s">
        <v>2</v>
      </c>
      <c r="AN53" s="1301">
        <f>$G$55/1000</f>
        <v>8.3839999999999998E-2</v>
      </c>
      <c r="AO53" s="1299">
        <f>$C$55/1000</f>
        <v>1.9E-2</v>
      </c>
      <c r="AP53" s="1300" t="s">
        <v>2</v>
      </c>
      <c r="AQ53" s="1301">
        <f>$G$55/1000</f>
        <v>8.3839999999999998E-2</v>
      </c>
      <c r="AR53" s="1299">
        <f>$C$55/1000</f>
        <v>1.9E-2</v>
      </c>
      <c r="AS53" s="1300" t="s">
        <v>2</v>
      </c>
      <c r="AT53" s="1301">
        <f>$G$55/1000</f>
        <v>8.3839999999999998E-2</v>
      </c>
      <c r="AU53" s="1299">
        <f>$C$55/1000</f>
        <v>1.9E-2</v>
      </c>
      <c r="AV53" s="1300" t="s">
        <v>2</v>
      </c>
      <c r="AW53" s="1301">
        <f>$G$55/1000</f>
        <v>8.3839999999999998E-2</v>
      </c>
      <c r="AX53" s="1299">
        <f>$C$55/1000</f>
        <v>1.9E-2</v>
      </c>
      <c r="AY53" s="1300" t="s">
        <v>2</v>
      </c>
      <c r="AZ53" s="1301">
        <f>$G$55/1000</f>
        <v>8.3839999999999998E-2</v>
      </c>
      <c r="BA53" s="1299">
        <f>$C$55/1000</f>
        <v>1.9E-2</v>
      </c>
      <c r="BB53" s="1300" t="s">
        <v>2</v>
      </c>
      <c r="BC53" s="1301">
        <f>$G$55/1000</f>
        <v>8.3839999999999998E-2</v>
      </c>
      <c r="BD53" s="1299">
        <f>$C$55/1000</f>
        <v>1.9E-2</v>
      </c>
      <c r="BE53" s="1300" t="s">
        <v>2</v>
      </c>
      <c r="BF53" s="1301">
        <f>$G$55/1000</f>
        <v>8.3839999999999998E-2</v>
      </c>
      <c r="BG53" s="1299">
        <f>$C$55/1000</f>
        <v>1.9E-2</v>
      </c>
      <c r="BH53" s="1300" t="s">
        <v>2</v>
      </c>
      <c r="BI53" s="1301">
        <f>$G$55/1000</f>
        <v>8.3839999999999998E-2</v>
      </c>
      <c r="BJ53" s="1299">
        <f>$C$55/1000</f>
        <v>1.9E-2</v>
      </c>
      <c r="BK53" s="1300" t="s">
        <v>2</v>
      </c>
      <c r="BL53" s="1301">
        <f>$G$55/1000</f>
        <v>8.3839999999999998E-2</v>
      </c>
      <c r="BM53" s="1299">
        <f>$C$55/1000</f>
        <v>1.9E-2</v>
      </c>
      <c r="BN53" s="1300" t="s">
        <v>2</v>
      </c>
      <c r="BO53" s="1301">
        <f>$G$55/1000</f>
        <v>8.3839999999999998E-2</v>
      </c>
      <c r="BP53" s="1299">
        <f>$C$55/1000</f>
        <v>1.9E-2</v>
      </c>
      <c r="BQ53" s="1300" t="s">
        <v>2</v>
      </c>
      <c r="BR53" s="1301">
        <f>$G$55/1000</f>
        <v>8.3839999999999998E-2</v>
      </c>
      <c r="BS53" s="1299">
        <f>$C$55/1000</f>
        <v>1.9E-2</v>
      </c>
      <c r="BT53" s="1300" t="s">
        <v>2</v>
      </c>
      <c r="BU53" s="1301">
        <f>$G$55/1000</f>
        <v>8.3839999999999998E-2</v>
      </c>
      <c r="BV53" s="1299">
        <f>$C$55/1000</f>
        <v>1.9E-2</v>
      </c>
      <c r="BW53" s="1300" t="s">
        <v>2</v>
      </c>
      <c r="BX53" s="1301">
        <f>$G$55/1000</f>
        <v>8.3839999999999998E-2</v>
      </c>
      <c r="BY53" s="1299">
        <f>$C$55/1000</f>
        <v>1.9E-2</v>
      </c>
      <c r="BZ53" s="1300" t="s">
        <v>2</v>
      </c>
      <c r="CA53" s="1301">
        <f>$G$55/1000</f>
        <v>8.3839999999999998E-2</v>
      </c>
    </row>
    <row r="54" spans="1:256" ht="13.5" thickBot="1" x14ac:dyDescent="0.25">
      <c r="A54" s="1337" t="s">
        <v>1</v>
      </c>
      <c r="B54" s="1303" t="s">
        <v>23</v>
      </c>
      <c r="C54" s="1304"/>
      <c r="D54" s="1304" t="s">
        <v>24</v>
      </c>
      <c r="E54" s="1305"/>
      <c r="F54" s="1306"/>
      <c r="G54" s="1338"/>
      <c r="H54" s="1307">
        <f>((I15^2+J15^2)*$G$56/1000)/$C$16^2</f>
        <v>4.1484395917968757E-3</v>
      </c>
      <c r="I54" s="1308" t="s">
        <v>2</v>
      </c>
      <c r="J54" s="1309">
        <f>((I15^2+J15^2)*$O$56)/(100*$C$16)</f>
        <v>7.5114292500000013E-2</v>
      </c>
      <c r="K54" s="1307">
        <f>((L15^2+M15^2)*$G$56/1000)/$C$16^2</f>
        <v>3.8282323500000008E-3</v>
      </c>
      <c r="L54" s="1308" t="s">
        <v>2</v>
      </c>
      <c r="M54" s="1309">
        <f>((L15^2+M15^2)*$O$56)/(100*$C$16)</f>
        <v>6.931641600000002E-2</v>
      </c>
      <c r="N54" s="1307">
        <f>((O15^2+P15^2)*$G$56/1000)/$C$16^2</f>
        <v>3.7769327648437497E-3</v>
      </c>
      <c r="O54" s="1308" t="s">
        <v>2</v>
      </c>
      <c r="P54" s="1309">
        <f>((O15^2+P15^2)*$O$56)/(100*$C$16)</f>
        <v>6.838755299999999E-2</v>
      </c>
      <c r="Q54" s="1307">
        <f>((R15^2+S15^2)*$G$56/1000)/$C$16^2</f>
        <v>3.6890760058593758E-3</v>
      </c>
      <c r="R54" s="1308" t="s">
        <v>2</v>
      </c>
      <c r="S54" s="1309">
        <f>((R15^2+S15^2)*$O$56)/(100*$C$16)</f>
        <v>6.6796762500000009E-2</v>
      </c>
      <c r="T54" s="1307">
        <f>((U15^2+V15^2)*$G$56/1000)/$C$16^2</f>
        <v>3.6336183046875008E-3</v>
      </c>
      <c r="U54" s="1308" t="s">
        <v>2</v>
      </c>
      <c r="V54" s="1309">
        <f>((U15^2+V15^2)*$O$56)/(100*$C$16)</f>
        <v>6.5792610000000015E-2</v>
      </c>
      <c r="W54" s="1307">
        <f>((X15^2+Y15^2)*$G$56/1000)/$C$16^2</f>
        <v>3.7691463937500006E-3</v>
      </c>
      <c r="X54" s="1308" t="s">
        <v>2</v>
      </c>
      <c r="Y54" s="1309">
        <f>((X15^2+Y15^2)*$O$56)/(100*$C$16)</f>
        <v>6.8246568000000007E-2</v>
      </c>
      <c r="Z54" s="1307">
        <f>((AA15^2+AB15^2)*$G$56/1000)/$C$16^2</f>
        <v>4.2503441273437498E-3</v>
      </c>
      <c r="AA54" s="1308" t="s">
        <v>2</v>
      </c>
      <c r="AB54" s="1309">
        <f>((AA15^2+AB15^2)*$O$56)/(100*$C$16)</f>
        <v>7.695944099999999E-2</v>
      </c>
      <c r="AC54" s="1307">
        <f>((AD15^2+AE15^2)*$G$56/1000)/$C$16^2</f>
        <v>4.7885536054687499E-3</v>
      </c>
      <c r="AD54" s="1308" t="s">
        <v>2</v>
      </c>
      <c r="AE54" s="1309">
        <f>((AD15^2+AE15^2)*$O$56)/(100*$C$16)</f>
        <v>8.670460499999999E-2</v>
      </c>
      <c r="AF54" s="1307">
        <f>((AG15^2+AH15^2)*$G$56/1000)/$C$16^2</f>
        <v>5.5160591343750009E-3</v>
      </c>
      <c r="AG54" s="1308" t="s">
        <v>2</v>
      </c>
      <c r="AH54" s="1309">
        <f>((AG15^2+AH15^2)*$O$56)/(100*$C$16)</f>
        <v>9.9877284000000011E-2</v>
      </c>
      <c r="AI54" s="1307">
        <f>((AJ15^2+AK15^2)*$G$56/1000)/$C$16^2</f>
        <v>5.5598695875000003E-3</v>
      </c>
      <c r="AJ54" s="1308" t="s">
        <v>2</v>
      </c>
      <c r="AK54" s="1309">
        <f>((AJ15^2+AK15^2)*$O$56)/(100*$C$16)</f>
        <v>0.100670544</v>
      </c>
      <c r="AL54" s="1307">
        <f>((AM15^2+AN15^2)*$G$56/1000)/$C$16^2</f>
        <v>5.3525582648437505E-3</v>
      </c>
      <c r="AM54" s="1308" t="s">
        <v>2</v>
      </c>
      <c r="AN54" s="1309">
        <f>((AM15^2+AN15^2)*$O$56)/(100*$C$16)</f>
        <v>9.6916833000000008E-2</v>
      </c>
      <c r="AO54" s="1307">
        <f>((AP15^2+AQ15^2)*$G$56/1000)/$C$16^2</f>
        <v>5.2344606621093749E-3</v>
      </c>
      <c r="AP54" s="1308" t="s">
        <v>2</v>
      </c>
      <c r="AQ54" s="1309">
        <f>((AP15^2+AQ15^2)*$O$56)/(100*$C$16)</f>
        <v>9.4778482499999997E-2</v>
      </c>
      <c r="AR54" s="1307">
        <f>((AS15^2+AT15^2)*$G$56/1000)/$C$16^2</f>
        <v>5.193696909375E-3</v>
      </c>
      <c r="AS54" s="1308" t="s">
        <v>2</v>
      </c>
      <c r="AT54" s="1309">
        <f>((AS15^2+AT15^2)*$O$56)/(100*$C$16)</f>
        <v>9.4040388000000003E-2</v>
      </c>
      <c r="AU54" s="1307">
        <f>((AV15^2+AW15^2)*$G$56/1000)/$C$16^2</f>
        <v>5.1905952843750002E-3</v>
      </c>
      <c r="AV54" s="1308" t="s">
        <v>2</v>
      </c>
      <c r="AW54" s="1309">
        <f>((AV15^2+AW15^2)*$O$56)/(100*$C$16)</f>
        <v>9.3984228000000003E-2</v>
      </c>
      <c r="AX54" s="1307">
        <f>((AY15^2+AZ15^2)*$G$56/1000)/$C$16^2</f>
        <v>5.2686593085937497E-3</v>
      </c>
      <c r="AY54" s="1308" t="s">
        <v>2</v>
      </c>
      <c r="AZ54" s="1309">
        <f>((AY15^2+AZ15^2)*$O$56)/(100*$C$16)</f>
        <v>9.5397704999999999E-2</v>
      </c>
      <c r="BA54" s="1307">
        <f>((BB15^2+BC15^2)*$G$56/1000)/$C$16^2</f>
        <v>5.5167731542968765E-3</v>
      </c>
      <c r="BB54" s="1308" t="s">
        <v>2</v>
      </c>
      <c r="BC54" s="1309">
        <f>((BB15^2+BC15^2)*$O$56)/(100*$C$16)</f>
        <v>9.989021250000002E-2</v>
      </c>
      <c r="BD54" s="1307">
        <f>((BE15^2+BF15^2)*$G$56/1000)/$C$16^2</f>
        <v>5.8671436992187506E-3</v>
      </c>
      <c r="BE54" s="1308" t="s">
        <v>2</v>
      </c>
      <c r="BF54" s="1309">
        <f>((BE15^2+BF15^2)*$O$56)/(100*$C$16)</f>
        <v>0.106234245</v>
      </c>
      <c r="BG54" s="1307">
        <f>((BH15^2+BI15^2)*$G$56/1000)/$C$16^2</f>
        <v>5.817372310546875E-3</v>
      </c>
      <c r="BH54" s="1308" t="s">
        <v>2</v>
      </c>
      <c r="BI54" s="1309">
        <f>((BH15^2+BI15^2)*$O$56)/(100*$C$16)</f>
        <v>0.10533305250000001</v>
      </c>
      <c r="BJ54" s="1307">
        <f>((BK15^2+BL15^2)*$G$56/1000)/$C$16^2</f>
        <v>5.6279147167968757E-3</v>
      </c>
      <c r="BK54" s="1308" t="s">
        <v>2</v>
      </c>
      <c r="BL54" s="1309">
        <f>((BK15^2+BL15^2)*$O$56)/(100*$C$16)</f>
        <v>0.1019026125</v>
      </c>
      <c r="BM54" s="1307">
        <f>((BN15^2+BO15^2)*$G$56/1000)/$C$16^2</f>
        <v>5.5553334609374999E-3</v>
      </c>
      <c r="BN54" s="1308" t="s">
        <v>2</v>
      </c>
      <c r="BO54" s="1309">
        <f>((BN15^2+BO15^2)*$O$56)/(100*$C$16)</f>
        <v>0.10058840999999999</v>
      </c>
      <c r="BP54" s="1307">
        <f>((BQ15^2+BR15^2)*$G$56/1000)/$C$16^2</f>
        <v>5.4436943460937507E-3</v>
      </c>
      <c r="BQ54" s="1308" t="s">
        <v>2</v>
      </c>
      <c r="BR54" s="1309">
        <f>((BQ15^2+BR15^2)*$O$56)/(100*$C$16)</f>
        <v>9.8567001000000015E-2</v>
      </c>
      <c r="BS54" s="1307">
        <f>((BT15^2+BU15^2)*$G$56/1000)/$C$16^2</f>
        <v>5.2985318343750009E-3</v>
      </c>
      <c r="BT54" s="1308" t="s">
        <v>2</v>
      </c>
      <c r="BU54" s="1309">
        <f>((BT15^2+BU15^2)*$O$56)/(100*$C$16)</f>
        <v>9.5938596000000015E-2</v>
      </c>
      <c r="BV54" s="1307">
        <f>((BW15^2+BX15^2)*$G$56/1000)/$C$16^2</f>
        <v>4.8546957585937503E-3</v>
      </c>
      <c r="BW54" s="1308" t="s">
        <v>2</v>
      </c>
      <c r="BX54" s="1309">
        <f>((BW15^2+BX15^2)*$O$56)/(100*$C$16)</f>
        <v>8.7902217000000005E-2</v>
      </c>
      <c r="BY54" s="1307">
        <f>((BZ15^2+CA15^2)*$G$56/1000)/$C$16^2</f>
        <v>4.4521823742187496E-3</v>
      </c>
      <c r="BZ54" s="1308" t="s">
        <v>2</v>
      </c>
      <c r="CA54" s="1309">
        <f>((BZ15^2+CA15^2)*$O$56)/(100*$C$16)</f>
        <v>8.0614052999999991E-2</v>
      </c>
    </row>
    <row r="55" spans="1:256" x14ac:dyDescent="0.2">
      <c r="A55" s="1339"/>
      <c r="B55" s="1340" t="s">
        <v>304</v>
      </c>
      <c r="C55" s="1311">
        <v>19</v>
      </c>
      <c r="D55" s="1312"/>
      <c r="E55" s="1312"/>
      <c r="F55" s="1313" t="s">
        <v>305</v>
      </c>
      <c r="G55" s="1422">
        <v>83.84</v>
      </c>
      <c r="H55" s="1124"/>
      <c r="I55" s="1125"/>
      <c r="J55" s="1424"/>
      <c r="K55" s="1124"/>
      <c r="L55" s="1125"/>
      <c r="M55" s="1424"/>
      <c r="N55" s="1342"/>
      <c r="O55" s="1425"/>
      <c r="P55" s="1424"/>
      <c r="Q55" s="1124"/>
      <c r="R55" s="1125"/>
      <c r="S55" s="1424"/>
      <c r="T55" s="1124"/>
      <c r="U55" s="1125"/>
      <c r="V55" s="1424"/>
      <c r="W55" s="1124"/>
      <c r="X55" s="1125"/>
      <c r="Y55" s="1424"/>
      <c r="Z55" s="1124"/>
      <c r="AA55" s="1125"/>
      <c r="AB55" s="1424"/>
      <c r="AC55" s="1124"/>
      <c r="AD55" s="1125"/>
      <c r="AE55" s="1424"/>
      <c r="AF55" s="1124"/>
      <c r="AG55" s="1125"/>
      <c r="AH55" s="1424"/>
      <c r="AI55" s="1124"/>
      <c r="AJ55" s="1125"/>
      <c r="AK55" s="1424"/>
      <c r="AL55" s="1124"/>
      <c r="AM55" s="1125"/>
      <c r="AN55" s="1424"/>
      <c r="AO55" s="1124"/>
      <c r="AP55" s="1125"/>
      <c r="AQ55" s="1424"/>
      <c r="AR55" s="1124"/>
      <c r="AS55" s="1125"/>
      <c r="AT55" s="1424"/>
      <c r="AU55" s="1124"/>
      <c r="AV55" s="1125"/>
      <c r="AW55" s="1424"/>
      <c r="AX55" s="1124"/>
      <c r="AY55" s="1125"/>
      <c r="AZ55" s="1424"/>
      <c r="BA55" s="1124"/>
      <c r="BB55" s="1125"/>
      <c r="BC55" s="1424"/>
      <c r="BD55" s="1124"/>
      <c r="BE55" s="1125"/>
      <c r="BF55" s="1424"/>
      <c r="BG55" s="1124"/>
      <c r="BH55" s="1125"/>
      <c r="BI55" s="1424"/>
      <c r="BJ55" s="1124"/>
      <c r="BK55" s="1125"/>
      <c r="BL55" s="1424"/>
      <c r="BM55" s="1124"/>
      <c r="BN55" s="1125"/>
      <c r="BO55" s="1424"/>
      <c r="BP55" s="1124"/>
      <c r="BQ55" s="1125"/>
      <c r="BR55" s="1424"/>
      <c r="BS55" s="1124"/>
      <c r="BT55" s="1125"/>
      <c r="BU55" s="1424"/>
      <c r="BV55" s="1124"/>
      <c r="BW55" s="1125"/>
      <c r="BX55" s="1424"/>
      <c r="BY55" s="1124"/>
      <c r="BZ55" s="1125"/>
      <c r="CA55" s="1424"/>
    </row>
    <row r="56" spans="1:256" ht="13.5" thickBot="1" x14ac:dyDescent="0.25">
      <c r="A56" s="1339"/>
      <c r="B56" s="1348"/>
      <c r="C56" s="1294"/>
      <c r="D56" s="1291"/>
      <c r="E56" s="1325" t="s">
        <v>57</v>
      </c>
      <c r="F56" s="1326"/>
      <c r="G56" s="1426">
        <v>91.9</v>
      </c>
      <c r="H56" s="1206"/>
      <c r="I56" s="1328"/>
      <c r="J56" s="1329"/>
      <c r="K56" s="1206"/>
      <c r="L56" s="1328"/>
      <c r="M56" s="1329"/>
      <c r="N56" s="1206" t="s">
        <v>56</v>
      </c>
      <c r="O56" s="1324">
        <v>10.4</v>
      </c>
      <c r="P56" s="1329"/>
      <c r="Q56" s="1206"/>
      <c r="R56" s="1328"/>
      <c r="S56" s="1329"/>
      <c r="T56" s="1206"/>
      <c r="U56" s="1328"/>
      <c r="V56" s="1329"/>
      <c r="W56" s="1206"/>
      <c r="X56" s="1328"/>
      <c r="Y56" s="1329"/>
      <c r="Z56" s="1206"/>
      <c r="AA56" s="1328"/>
      <c r="AB56" s="1329"/>
      <c r="AC56" s="1206"/>
      <c r="AD56" s="1328"/>
      <c r="AE56" s="1329"/>
      <c r="AF56" s="1206"/>
      <c r="AG56" s="1328"/>
      <c r="AH56" s="1329"/>
      <c r="AI56" s="1206"/>
      <c r="AJ56" s="1328"/>
      <c r="AK56" s="1329"/>
      <c r="AL56" s="1206"/>
      <c r="AM56" s="1328"/>
      <c r="AN56" s="1329"/>
      <c r="AO56" s="1206"/>
      <c r="AP56" s="1328"/>
      <c r="AQ56" s="1329"/>
      <c r="AR56" s="1206"/>
      <c r="AS56" s="1328"/>
      <c r="AT56" s="1329"/>
      <c r="AU56" s="1206"/>
      <c r="AV56" s="1328"/>
      <c r="AW56" s="1329"/>
      <c r="AX56" s="1206"/>
      <c r="AY56" s="1328"/>
      <c r="AZ56" s="1329"/>
      <c r="BA56" s="1206"/>
      <c r="BB56" s="1328"/>
      <c r="BC56" s="1329"/>
      <c r="BD56" s="1206"/>
      <c r="BE56" s="1328"/>
      <c r="BF56" s="1329"/>
      <c r="BG56" s="1206"/>
      <c r="BH56" s="1328"/>
      <c r="BI56" s="1329"/>
      <c r="BJ56" s="1206"/>
      <c r="BK56" s="1328"/>
      <c r="BL56" s="1329"/>
      <c r="BM56" s="1206"/>
      <c r="BN56" s="1328"/>
      <c r="BO56" s="1329"/>
      <c r="BP56" s="1206"/>
      <c r="BQ56" s="1328"/>
      <c r="BR56" s="1329"/>
      <c r="BS56" s="1206"/>
      <c r="BT56" s="1328"/>
      <c r="BU56" s="1329"/>
      <c r="BV56" s="1206"/>
      <c r="BW56" s="1328"/>
      <c r="BX56" s="1329"/>
      <c r="BY56" s="1206"/>
      <c r="BZ56" s="1328"/>
      <c r="CA56" s="1329"/>
    </row>
    <row r="57" spans="1:256" ht="13.5" thickBot="1" x14ac:dyDescent="0.25">
      <c r="A57" s="1183"/>
      <c r="B57" s="2406" t="s">
        <v>29</v>
      </c>
      <c r="C57" s="2407"/>
      <c r="D57" s="2407"/>
      <c r="E57" s="2407"/>
      <c r="F57" s="2407"/>
      <c r="G57" s="2408"/>
      <c r="H57" s="1333">
        <f>I14</f>
        <v>3.3792</v>
      </c>
      <c r="I57" s="1334" t="s">
        <v>2</v>
      </c>
      <c r="J57" s="1335">
        <f>J14</f>
        <v>0.32339999999999997</v>
      </c>
      <c r="K57" s="1333">
        <f>L14</f>
        <v>3.2471999999999999</v>
      </c>
      <c r="L57" s="1334" t="s">
        <v>2</v>
      </c>
      <c r="M57" s="1335">
        <f>M14</f>
        <v>0.34320000000000006</v>
      </c>
      <c r="N57" s="1333">
        <f>O14</f>
        <v>3.2241</v>
      </c>
      <c r="O57" s="1334" t="s">
        <v>2</v>
      </c>
      <c r="P57" s="1335">
        <f>P14</f>
        <v>0.34649999999999997</v>
      </c>
      <c r="Q57" s="1333">
        <f>R14</f>
        <v>3.1844999999999999</v>
      </c>
      <c r="R57" s="1334" t="s">
        <v>2</v>
      </c>
      <c r="S57" s="1335">
        <f>S14</f>
        <v>0.34649999999999997</v>
      </c>
      <c r="T57" s="1333">
        <f>U14</f>
        <v>3.1614</v>
      </c>
      <c r="U57" s="1334" t="s">
        <v>2</v>
      </c>
      <c r="V57" s="1335">
        <f>V14</f>
        <v>0.34649999999999997</v>
      </c>
      <c r="W57" s="1333">
        <f>X14</f>
        <v>3.2208000000000001</v>
      </c>
      <c r="X57" s="1334" t="s">
        <v>2</v>
      </c>
      <c r="Y57" s="1335">
        <f>Y14</f>
        <v>0.33660000000000001</v>
      </c>
      <c r="Z57" s="1333">
        <f>AA14</f>
        <v>3.4188000000000001</v>
      </c>
      <c r="AA57" s="1334" t="s">
        <v>2</v>
      </c>
      <c r="AB57" s="1335">
        <f>AB14</f>
        <v>0.33</v>
      </c>
      <c r="AC57" s="1333">
        <f>AD14</f>
        <v>3.63</v>
      </c>
      <c r="AD57" s="1334" t="s">
        <v>2</v>
      </c>
      <c r="AE57" s="1335">
        <f>AE14</f>
        <v>0.33660000000000001</v>
      </c>
      <c r="AF57" s="1333">
        <f>AG14</f>
        <v>3.9104999999999999</v>
      </c>
      <c r="AG57" s="1334" t="s">
        <v>2</v>
      </c>
      <c r="AH57" s="1335">
        <f>AH14</f>
        <v>7.5900000000000009E-2</v>
      </c>
      <c r="AI57" s="1333">
        <f>AJ14</f>
        <v>3.9236999999999997</v>
      </c>
      <c r="AJ57" s="1334" t="s">
        <v>2</v>
      </c>
      <c r="AK57" s="1335">
        <f>AK14</f>
        <v>-8.9099999999999999E-2</v>
      </c>
      <c r="AL57" s="1333">
        <f>AM14</f>
        <v>3.8544</v>
      </c>
      <c r="AM57" s="1334" t="s">
        <v>2</v>
      </c>
      <c r="AN57" s="1335">
        <f>AN14</f>
        <v>5.2800000000000014E-2</v>
      </c>
      <c r="AO57" s="1333">
        <f>AP14</f>
        <v>3.8081999999999998</v>
      </c>
      <c r="AP57" s="1334" t="s">
        <v>2</v>
      </c>
      <c r="AQ57" s="1335">
        <f>AQ14</f>
        <v>0.20130000000000001</v>
      </c>
      <c r="AR57" s="1333">
        <f>AS14</f>
        <v>3.7883999999999998</v>
      </c>
      <c r="AS57" s="1334" t="s">
        <v>2</v>
      </c>
      <c r="AT57" s="1335">
        <f>AT14</f>
        <v>0.28050000000000003</v>
      </c>
      <c r="AU57" s="1333">
        <f>AV14</f>
        <v>3.7883999999999998</v>
      </c>
      <c r="AV57" s="1334" t="s">
        <v>2</v>
      </c>
      <c r="AW57" s="1335">
        <f>AW14</f>
        <v>0.22769999999999999</v>
      </c>
      <c r="AX57" s="1333">
        <f>AY14</f>
        <v>3.8180999999999998</v>
      </c>
      <c r="AY57" s="1334" t="s">
        <v>2</v>
      </c>
      <c r="AZ57" s="1335">
        <f>AZ14</f>
        <v>-1.9799999999999984E-2</v>
      </c>
      <c r="BA57" s="1333">
        <f>BB14</f>
        <v>3.9104999999999999</v>
      </c>
      <c r="BB57" s="1334" t="s">
        <v>2</v>
      </c>
      <c r="BC57" s="1335">
        <f>BC14</f>
        <v>0.1716</v>
      </c>
      <c r="BD57" s="1333">
        <f>BE14</f>
        <v>4.0293000000000001</v>
      </c>
      <c r="BE57" s="1334" t="s">
        <v>2</v>
      </c>
      <c r="BF57" s="1335">
        <f>BF14</f>
        <v>0.18150000000000002</v>
      </c>
      <c r="BG57" s="1333">
        <f>BH14</f>
        <v>4.0128000000000004</v>
      </c>
      <c r="BH57" s="1334" t="s">
        <v>2</v>
      </c>
      <c r="BI57" s="1335">
        <f>BI14</f>
        <v>0.24089999999999998</v>
      </c>
      <c r="BJ57" s="1333">
        <f>M59</f>
        <v>0.60060000000000002</v>
      </c>
      <c r="BK57" s="1334" t="s">
        <v>2</v>
      </c>
      <c r="BL57" s="1335">
        <f>BL14</f>
        <v>0.29699999999999999</v>
      </c>
      <c r="BM57" s="1333">
        <f>BN14</f>
        <v>3.9138000000000002</v>
      </c>
      <c r="BN57" s="1334" t="s">
        <v>2</v>
      </c>
      <c r="BO57" s="1335">
        <f>BO14</f>
        <v>0.31019999999999998</v>
      </c>
      <c r="BP57" s="1333">
        <f>BQ14</f>
        <v>3.8741999999999996</v>
      </c>
      <c r="BQ57" s="1334" t="s">
        <v>2</v>
      </c>
      <c r="BR57" s="1335">
        <f>BR14</f>
        <v>0.30689999999999995</v>
      </c>
      <c r="BS57" s="1333">
        <f>BT14</f>
        <v>3.8247</v>
      </c>
      <c r="BT57" s="1334" t="s">
        <v>2</v>
      </c>
      <c r="BU57" s="1335">
        <f>BU14</f>
        <v>0.30360000000000004</v>
      </c>
      <c r="BV57" s="1333">
        <f>BW14</f>
        <v>3.6597</v>
      </c>
      <c r="BW57" s="1334" t="s">
        <v>2</v>
      </c>
      <c r="BX57" s="1335">
        <f>BX14</f>
        <v>0.30030000000000001</v>
      </c>
      <c r="BY57" s="1333">
        <f>BZ14</f>
        <v>3.5079000000000002</v>
      </c>
      <c r="BZ57" s="1334" t="s">
        <v>2</v>
      </c>
      <c r="CA57" s="1335">
        <f>CA14</f>
        <v>0.30689999999999995</v>
      </c>
    </row>
    <row r="58" spans="1:256" x14ac:dyDescent="0.2">
      <c r="A58" s="1357" t="s">
        <v>20</v>
      </c>
      <c r="B58" s="1358"/>
      <c r="C58" s="1359"/>
      <c r="D58" s="1360"/>
      <c r="E58" s="1125"/>
      <c r="F58" s="1079"/>
      <c r="G58" s="1131"/>
      <c r="H58" s="1427"/>
      <c r="I58" s="1428"/>
      <c r="J58" s="1428"/>
      <c r="K58" s="1427"/>
      <c r="L58" s="1428"/>
      <c r="M58" s="1429"/>
      <c r="N58" s="1428"/>
      <c r="O58" s="1428"/>
      <c r="P58" s="1428"/>
      <c r="Q58" s="1427"/>
      <c r="R58" s="1428"/>
      <c r="S58" s="1429"/>
      <c r="T58" s="1428"/>
      <c r="U58" s="1428"/>
      <c r="V58" s="1428"/>
      <c r="W58" s="1427"/>
      <c r="X58" s="1428"/>
      <c r="Y58" s="1429"/>
      <c r="Z58" s="1428"/>
      <c r="AA58" s="1428"/>
      <c r="AB58" s="1428"/>
      <c r="AC58" s="1427"/>
      <c r="AD58" s="1428"/>
      <c r="AE58" s="1429"/>
      <c r="AF58" s="1428"/>
      <c r="AG58" s="1428"/>
      <c r="AH58" s="1428"/>
      <c r="AI58" s="1427"/>
      <c r="AJ58" s="1428"/>
      <c r="AK58" s="1429"/>
      <c r="AL58" s="1428"/>
      <c r="AM58" s="1428"/>
      <c r="AN58" s="1428"/>
      <c r="AO58" s="1427"/>
      <c r="AP58" s="1428"/>
      <c r="AQ58" s="1429"/>
      <c r="AR58" s="1428"/>
      <c r="AS58" s="1428"/>
      <c r="AT58" s="1428"/>
      <c r="AU58" s="1427"/>
      <c r="AV58" s="1428"/>
      <c r="AW58" s="1429"/>
      <c r="AX58" s="1428"/>
      <c r="AY58" s="1428"/>
      <c r="AZ58" s="1428"/>
      <c r="BA58" s="1427"/>
      <c r="BB58" s="1428"/>
      <c r="BC58" s="1429"/>
      <c r="BD58" s="1428"/>
      <c r="BE58" s="1428"/>
      <c r="BF58" s="1428"/>
      <c r="BG58" s="1427"/>
      <c r="BH58" s="1428"/>
      <c r="BI58" s="1429"/>
      <c r="BJ58" s="1428"/>
      <c r="BK58" s="1428"/>
      <c r="BL58" s="1428"/>
      <c r="BM58" s="1427"/>
      <c r="BN58" s="1428"/>
      <c r="BO58" s="1429"/>
      <c r="BP58" s="1428"/>
      <c r="BQ58" s="1428"/>
      <c r="BR58" s="1428"/>
      <c r="BS58" s="1427"/>
      <c r="BT58" s="1428"/>
      <c r="BU58" s="1429"/>
      <c r="BV58" s="1428"/>
      <c r="BW58" s="1428"/>
      <c r="BX58" s="1428"/>
      <c r="BY58" s="1427"/>
      <c r="BZ58" s="1428"/>
      <c r="CA58" s="1429"/>
    </row>
    <row r="59" spans="1:256" ht="13.5" thickBot="1" x14ac:dyDescent="0.25">
      <c r="A59" s="1362" t="s">
        <v>21</v>
      </c>
      <c r="B59" s="1215"/>
      <c r="C59" s="1363"/>
      <c r="D59" s="1215"/>
      <c r="E59" s="1196"/>
      <c r="F59" s="1215" t="s">
        <v>25</v>
      </c>
      <c r="G59" s="1207"/>
      <c r="H59" s="1430">
        <f>SUM(H52,H57)</f>
        <v>7.2138</v>
      </c>
      <c r="I59" s="1431" t="s">
        <v>2</v>
      </c>
      <c r="J59" s="1432">
        <f>SUM(J52,J57)</f>
        <v>0.34979999999999994</v>
      </c>
      <c r="K59" s="1430">
        <f>SUM(K52,K57)</f>
        <v>6.8309999999999995</v>
      </c>
      <c r="L59" s="1431" t="s">
        <v>2</v>
      </c>
      <c r="M59" s="1433">
        <f>SUM(M52,M57)</f>
        <v>0.60060000000000002</v>
      </c>
      <c r="N59" s="1432">
        <f>SUM(N52,N57)</f>
        <v>6.7254000000000005</v>
      </c>
      <c r="O59" s="1431" t="s">
        <v>2</v>
      </c>
      <c r="P59" s="1432">
        <f>SUM(P52,P57)</f>
        <v>0.64349999999999996</v>
      </c>
      <c r="Q59" s="1430">
        <f>SUM(Q52,Q57)</f>
        <v>6.6197999999999997</v>
      </c>
      <c r="R59" s="1431" t="s">
        <v>2</v>
      </c>
      <c r="S59" s="1433">
        <f>SUM(S52,S57)</f>
        <v>0.6863999999999999</v>
      </c>
      <c r="T59" s="1430">
        <f>SUM(T52,T57)</f>
        <v>6.5769000000000002</v>
      </c>
      <c r="U59" s="1431" t="s">
        <v>2</v>
      </c>
      <c r="V59" s="1432">
        <f>SUM(V52,V57)</f>
        <v>0.69299999999999995</v>
      </c>
      <c r="W59" s="1430">
        <f>SUM(W52,W57)</f>
        <v>6.7484999999999999</v>
      </c>
      <c r="X59" s="1431" t="s">
        <v>2</v>
      </c>
      <c r="Y59" s="1433">
        <f>SUM(Y52,Y57)</f>
        <v>0.67320000000000002</v>
      </c>
      <c r="Z59" s="1432">
        <f>SUM(Z52,Z57)</f>
        <v>7.3094999999999999</v>
      </c>
      <c r="AA59" s="1431" t="s">
        <v>2</v>
      </c>
      <c r="AB59" s="1432">
        <f>SUM(AB52,AB57)</f>
        <v>0.53129999999999999</v>
      </c>
      <c r="AC59" s="1430">
        <f>SUM(AC52,AC57)</f>
        <v>7.9002000000000008</v>
      </c>
      <c r="AD59" s="1431" t="s">
        <v>2</v>
      </c>
      <c r="AE59" s="1433">
        <f>SUM(AE52,AE57)</f>
        <v>0.36630000000000001</v>
      </c>
      <c r="AF59" s="1430">
        <f>SUM(AF52,AF57)</f>
        <v>8.3753999999999991</v>
      </c>
      <c r="AG59" s="1431" t="s">
        <v>2</v>
      </c>
      <c r="AH59" s="1432">
        <f>SUM(AH52,AH57)</f>
        <v>-0.11879999999999998</v>
      </c>
      <c r="AI59" s="1430">
        <f>SUM(AI52,AI57)</f>
        <v>8.3391000000000002</v>
      </c>
      <c r="AJ59" s="1431" t="s">
        <v>2</v>
      </c>
      <c r="AK59" s="1433">
        <f>SUM(AK52,AK57)</f>
        <v>-0.32670000000000005</v>
      </c>
      <c r="AL59" s="1432">
        <f>SUM(AL52,AL57)</f>
        <v>8.3160000000000007</v>
      </c>
      <c r="AM59" s="1431" t="s">
        <v>2</v>
      </c>
      <c r="AN59" s="1432">
        <f>SUM(AN52,AN57)</f>
        <v>-0.29039999999999999</v>
      </c>
      <c r="AO59" s="1430">
        <f>SUM(AO52,AO57)</f>
        <v>8.2994999999999983</v>
      </c>
      <c r="AP59" s="1431" t="s">
        <v>2</v>
      </c>
      <c r="AQ59" s="1433">
        <f>SUM(AQ52,AQ57)</f>
        <v>-4.9500000000000016E-2</v>
      </c>
      <c r="AR59" s="1430">
        <f>SUM(AR52,AR57)</f>
        <v>8.2797000000000001</v>
      </c>
      <c r="AS59" s="1431" t="s">
        <v>2</v>
      </c>
      <c r="AT59" s="1432">
        <f>SUM(AT52,AT57)</f>
        <v>0.11220000000000002</v>
      </c>
      <c r="AU59" s="1430">
        <f>SUM(AU52,AU57)</f>
        <v>8.2334999999999994</v>
      </c>
      <c r="AV59" s="1431" t="s">
        <v>2</v>
      </c>
      <c r="AW59" s="1433">
        <f>SUM(AW52,AW57)</f>
        <v>-4.6199999999999991E-2</v>
      </c>
      <c r="AX59" s="1432">
        <f>SUM(AX52,AX57)</f>
        <v>8.2169999999999987</v>
      </c>
      <c r="AY59" s="1431" t="s">
        <v>2</v>
      </c>
      <c r="AZ59" s="1432">
        <f>SUM(AZ52,AZ57)</f>
        <v>-0.26400000000000001</v>
      </c>
      <c r="BA59" s="1430">
        <f>SUM(BA52,BA57)</f>
        <v>8.5139999999999993</v>
      </c>
      <c r="BB59" s="1431" t="s">
        <v>2</v>
      </c>
      <c r="BC59" s="1433">
        <f>SUM(BC52,BC57)</f>
        <v>-8.9099999999999985E-2</v>
      </c>
      <c r="BD59" s="1430">
        <f>SUM(BD52,BD57)</f>
        <v>8.8241999999999994</v>
      </c>
      <c r="BE59" s="1431" t="s">
        <v>2</v>
      </c>
      <c r="BF59" s="1432">
        <f>SUM(BF52,BF57)</f>
        <v>3.3000000000000251E-3</v>
      </c>
      <c r="BG59" s="1430">
        <f>SUM(BG52,BG57)</f>
        <v>8.8308</v>
      </c>
      <c r="BH59" s="1431" t="s">
        <v>2</v>
      </c>
      <c r="BI59" s="1433">
        <f>SUM(BI52,BI57)</f>
        <v>-3.3000000000000251E-3</v>
      </c>
      <c r="BJ59" s="1432">
        <f>SUM(BJ52,BJ57)</f>
        <v>5.4449999999999994</v>
      </c>
      <c r="BK59" s="1431" t="s">
        <v>2</v>
      </c>
      <c r="BL59" s="1432">
        <f>SUM(BL52,BL57)</f>
        <v>7.5899999999999995E-2</v>
      </c>
      <c r="BM59" s="1430">
        <f>SUM(BM52,BM57)</f>
        <v>8.8440000000000012</v>
      </c>
      <c r="BN59" s="1431" t="s">
        <v>2</v>
      </c>
      <c r="BO59" s="1433">
        <f>SUM(BO52,BO57)</f>
        <v>6.2699999999999978E-2</v>
      </c>
      <c r="BP59" s="1430">
        <f>SUM(BP52,BP57)</f>
        <v>8.7483000000000004</v>
      </c>
      <c r="BQ59" s="1431" t="s">
        <v>2</v>
      </c>
      <c r="BR59" s="1432">
        <f>SUM(BR52,BR57)</f>
        <v>6.5999999999999948E-2</v>
      </c>
      <c r="BS59" s="1430">
        <f>SUM(BS52,BS57)</f>
        <v>8.5272000000000006</v>
      </c>
      <c r="BT59" s="1431" t="s">
        <v>2</v>
      </c>
      <c r="BU59" s="1433">
        <f>SUM(BU52,BU57)</f>
        <v>0.10230000000000003</v>
      </c>
      <c r="BV59" s="1432">
        <f>SUM(BV52,BV57)</f>
        <v>8.1971999999999987</v>
      </c>
      <c r="BW59" s="1431" t="s">
        <v>2</v>
      </c>
      <c r="BX59" s="1432">
        <f>SUM(BX52,BX57)</f>
        <v>0.13860000000000003</v>
      </c>
      <c r="BY59" s="1430">
        <f>SUM(BY52,BY57)</f>
        <v>7.7715000000000005</v>
      </c>
      <c r="BZ59" s="1431" t="s">
        <v>2</v>
      </c>
      <c r="CA59" s="1433">
        <f>SUM(CA52,CA57)</f>
        <v>0.23759999999999995</v>
      </c>
    </row>
    <row r="60" spans="1:256" x14ac:dyDescent="0.2">
      <c r="A60" s="1369"/>
      <c r="B60" s="1369"/>
      <c r="C60" s="1369"/>
      <c r="D60" s="1369"/>
      <c r="E60" s="1369" t="s">
        <v>107</v>
      </c>
      <c r="F60" s="1369"/>
      <c r="G60" s="1369"/>
      <c r="H60" s="1369"/>
      <c r="I60" s="1434"/>
      <c r="J60" s="1369"/>
      <c r="K60" s="1369"/>
      <c r="L60" s="1434"/>
      <c r="M60" s="1369"/>
      <c r="N60" s="1369"/>
      <c r="O60" s="1434">
        <f>P59/N59</f>
        <v>9.5682041216879274E-2</v>
      </c>
      <c r="P60" s="1369"/>
      <c r="Q60" s="1369"/>
      <c r="R60" s="1434">
        <f>S59/Q59</f>
        <v>0.10368893320039879</v>
      </c>
      <c r="S60" s="1369"/>
      <c r="T60" s="1369"/>
      <c r="U60" s="1434">
        <f>V59/T59</f>
        <v>0.10536879076768689</v>
      </c>
      <c r="V60" s="1369"/>
      <c r="W60" s="1369"/>
      <c r="X60" s="1434">
        <f>Y59/W59</f>
        <v>9.9755501222493895E-2</v>
      </c>
      <c r="Y60" s="1369"/>
      <c r="Z60" s="1369"/>
      <c r="AA60" s="1434">
        <f>AB59/Z59</f>
        <v>7.2686230248307004E-2</v>
      </c>
      <c r="AB60" s="1369"/>
      <c r="AC60" s="1369"/>
      <c r="AD60" s="1434">
        <f>AE59/AC59</f>
        <v>4.6365914786967416E-2</v>
      </c>
      <c r="AE60" s="1369"/>
      <c r="AF60" s="1369"/>
      <c r="AG60" s="1434">
        <f>AH59/AF59</f>
        <v>-1.4184397163120565E-2</v>
      </c>
      <c r="AH60" s="1369"/>
      <c r="AI60" s="1369"/>
      <c r="AJ60" s="1434">
        <f>AK59/AI59</f>
        <v>-3.9176889592402064E-2</v>
      </c>
      <c r="AK60" s="1369"/>
      <c r="AL60" s="1369"/>
      <c r="AM60" s="1434">
        <f>AN59/AL59</f>
        <v>-3.4920634920634915E-2</v>
      </c>
      <c r="AN60" s="1369"/>
      <c r="AO60" s="1369"/>
      <c r="AP60" s="1434">
        <f>AQ59/AO59</f>
        <v>-5.9642147117296256E-3</v>
      </c>
      <c r="AQ60" s="1369"/>
      <c r="AR60" s="1369"/>
      <c r="AS60" s="1434">
        <f>AT59/AR59</f>
        <v>1.3551215623754486E-2</v>
      </c>
      <c r="AT60" s="1369"/>
      <c r="AU60" s="1369"/>
      <c r="AV60" s="1434">
        <f>AW59/AU59</f>
        <v>-5.6112224448897786E-3</v>
      </c>
      <c r="AW60" s="1369"/>
      <c r="AX60" s="1369"/>
      <c r="AY60" s="1434">
        <f>AZ59/AX59</f>
        <v>-3.2128514056224904E-2</v>
      </c>
      <c r="AZ60" s="1369"/>
      <c r="BA60" s="1369"/>
      <c r="BB60" s="1434">
        <f>BC59/BA59</f>
        <v>-1.0465116279069767E-2</v>
      </c>
      <c r="BC60" s="1369"/>
      <c r="BD60" s="1369"/>
      <c r="BE60" s="1434">
        <f>BF59/BD59</f>
        <v>3.739715781600627E-4</v>
      </c>
      <c r="BF60" s="1369"/>
      <c r="BG60" s="1369"/>
      <c r="BH60" s="1434">
        <f>BI59/BG59</f>
        <v>-3.73692077727955E-4</v>
      </c>
      <c r="BI60" s="1369"/>
      <c r="BJ60" s="1369"/>
      <c r="BK60" s="1434">
        <f>BL59/BJ59</f>
        <v>1.3939393939393941E-2</v>
      </c>
      <c r="BL60" s="1369"/>
      <c r="BM60" s="1369"/>
      <c r="BN60" s="1434">
        <f>BO59/BM59</f>
        <v>7.089552238805967E-3</v>
      </c>
      <c r="BO60" s="1369"/>
      <c r="BP60" s="1369"/>
      <c r="BQ60" s="1434">
        <f>BR59/BP59</f>
        <v>7.5443228970199861E-3</v>
      </c>
      <c r="BR60" s="1369"/>
      <c r="BS60" s="1369"/>
      <c r="BT60" s="1434">
        <f>BU59/BS59</f>
        <v>1.1996904024767805E-2</v>
      </c>
      <c r="BU60" s="1369"/>
      <c r="BV60" s="1369"/>
      <c r="BW60" s="1434">
        <f>BX59/BV59</f>
        <v>1.6908212560386479E-2</v>
      </c>
      <c r="BX60" s="1369"/>
      <c r="BY60" s="1369"/>
      <c r="BZ60" s="1434">
        <f>CA59/BY59</f>
        <v>3.0573248407643305E-2</v>
      </c>
      <c r="CA60" s="1369"/>
      <c r="CB60" s="1369"/>
      <c r="CC60" s="1435"/>
      <c r="CD60" s="1369"/>
      <c r="CE60" s="1369"/>
      <c r="CF60" s="1369"/>
      <c r="CG60" s="1369"/>
      <c r="CH60" s="1369"/>
      <c r="CI60" s="1369"/>
      <c r="CJ60" s="1369"/>
      <c r="CK60" s="1369"/>
      <c r="CL60" s="1369"/>
      <c r="CM60" s="1369"/>
      <c r="CN60" s="1369"/>
      <c r="CO60" s="1369"/>
      <c r="CP60" s="1369"/>
      <c r="CQ60" s="1369"/>
      <c r="CR60" s="1369"/>
      <c r="CS60" s="1369"/>
      <c r="CT60" s="1369"/>
      <c r="CU60" s="1369"/>
      <c r="CV60" s="1369"/>
      <c r="CW60" s="1369"/>
      <c r="CX60" s="1369"/>
      <c r="CY60" s="1369"/>
      <c r="CZ60" s="1369"/>
      <c r="DA60" s="1369"/>
      <c r="DB60" s="1369"/>
      <c r="DC60" s="1369"/>
      <c r="DD60" s="1369"/>
      <c r="DE60" s="1369"/>
      <c r="DF60" s="1369"/>
      <c r="DG60" s="1369"/>
      <c r="DH60" s="1369"/>
      <c r="DI60" s="1369"/>
      <c r="DJ60" s="1369"/>
      <c r="DK60" s="1369"/>
      <c r="DL60" s="1369"/>
      <c r="DM60" s="1369"/>
      <c r="DN60" s="1369"/>
      <c r="DO60" s="1369"/>
      <c r="DP60" s="1369"/>
      <c r="DQ60" s="1369"/>
      <c r="DR60" s="1369"/>
      <c r="DS60" s="1369"/>
      <c r="DT60" s="1369"/>
      <c r="DU60" s="1369"/>
      <c r="DV60" s="1369"/>
      <c r="DW60" s="1369"/>
      <c r="DX60" s="1369"/>
      <c r="DY60" s="1369"/>
      <c r="DZ60" s="1369"/>
      <c r="EA60" s="1369"/>
      <c r="EB60" s="1369"/>
      <c r="EC60" s="1369"/>
      <c r="ED60" s="1369"/>
      <c r="EE60" s="1369"/>
      <c r="EF60" s="1369"/>
      <c r="EG60" s="1369"/>
      <c r="EH60" s="1369"/>
      <c r="EI60" s="1369"/>
      <c r="EJ60" s="1369"/>
      <c r="EK60" s="1369"/>
      <c r="EL60" s="1369"/>
      <c r="EM60" s="1369"/>
      <c r="EN60" s="1369"/>
      <c r="EO60" s="1369"/>
      <c r="EP60" s="1369"/>
      <c r="EQ60" s="1369"/>
      <c r="ER60" s="1369"/>
      <c r="ES60" s="1369"/>
      <c r="ET60" s="1369"/>
      <c r="EU60" s="1369"/>
      <c r="EV60" s="1369"/>
      <c r="EW60" s="1369"/>
      <c r="EX60" s="1369"/>
      <c r="EY60" s="1369"/>
      <c r="EZ60" s="1369"/>
      <c r="FA60" s="1369"/>
      <c r="FB60" s="1369"/>
      <c r="FC60" s="1369"/>
      <c r="FD60" s="1369"/>
      <c r="FE60" s="1369"/>
      <c r="FF60" s="1369"/>
      <c r="FG60" s="1369"/>
      <c r="FH60" s="1369"/>
      <c r="FI60" s="1369"/>
      <c r="FJ60" s="1369"/>
      <c r="FK60" s="1369"/>
      <c r="FL60" s="1369"/>
      <c r="FM60" s="1369"/>
      <c r="FN60" s="1369"/>
      <c r="FO60" s="1369"/>
      <c r="FP60" s="1369"/>
      <c r="FQ60" s="1369"/>
      <c r="FR60" s="1369"/>
      <c r="FS60" s="1369"/>
      <c r="FT60" s="1369"/>
      <c r="FU60" s="1369"/>
      <c r="FV60" s="1369"/>
      <c r="FW60" s="1369"/>
      <c r="FX60" s="1369"/>
      <c r="FY60" s="1369"/>
      <c r="FZ60" s="1369"/>
      <c r="GA60" s="1369"/>
      <c r="GB60" s="1369"/>
      <c r="GC60" s="1369"/>
      <c r="GD60" s="1369"/>
      <c r="GE60" s="1369"/>
      <c r="GF60" s="1369"/>
      <c r="GG60" s="1369"/>
      <c r="GH60" s="1369"/>
      <c r="GI60" s="1369"/>
      <c r="GJ60" s="1369"/>
      <c r="GK60" s="1369"/>
      <c r="GL60" s="1369"/>
      <c r="GM60" s="1369"/>
      <c r="GN60" s="1369"/>
      <c r="GO60" s="1369"/>
      <c r="GP60" s="1369"/>
      <c r="GQ60" s="1369"/>
      <c r="GR60" s="1369"/>
      <c r="GS60" s="1369"/>
      <c r="GT60" s="1369"/>
      <c r="GU60" s="1369"/>
      <c r="GV60" s="1369"/>
      <c r="GW60" s="1369"/>
      <c r="GX60" s="1369"/>
      <c r="GY60" s="1369"/>
      <c r="GZ60" s="1369"/>
      <c r="HA60" s="1369"/>
      <c r="HB60" s="1369"/>
      <c r="HC60" s="1369"/>
      <c r="HD60" s="1369"/>
      <c r="HE60" s="1369"/>
      <c r="HF60" s="1369"/>
      <c r="HG60" s="1369"/>
      <c r="HH60" s="1369"/>
      <c r="HI60" s="1369"/>
      <c r="HJ60" s="1369"/>
      <c r="HK60" s="1369"/>
      <c r="HL60" s="1369"/>
      <c r="HM60" s="1369"/>
      <c r="HN60" s="1369"/>
      <c r="HO60" s="1369"/>
      <c r="HP60" s="1369"/>
      <c r="HQ60" s="1369"/>
      <c r="HR60" s="1369"/>
      <c r="HS60" s="1369"/>
      <c r="HT60" s="1369"/>
      <c r="HU60" s="1369"/>
      <c r="HV60" s="1369"/>
      <c r="HW60" s="1369"/>
      <c r="HX60" s="1369"/>
      <c r="HY60" s="1369"/>
      <c r="HZ60" s="1369"/>
      <c r="IA60" s="1369"/>
      <c r="IB60" s="1369"/>
      <c r="IC60" s="1369"/>
      <c r="ID60" s="1369"/>
      <c r="IE60" s="1369"/>
      <c r="IF60" s="1369"/>
      <c r="IG60" s="1369"/>
      <c r="IH60" s="1369"/>
      <c r="II60" s="1369"/>
      <c r="IJ60" s="1369"/>
      <c r="IK60" s="1369"/>
      <c r="IL60" s="1369"/>
      <c r="IM60" s="1369"/>
      <c r="IN60" s="1369"/>
      <c r="IO60" s="1369"/>
      <c r="IP60" s="1369"/>
      <c r="IQ60" s="1369"/>
      <c r="IR60" s="1369"/>
      <c r="IS60" s="1369"/>
      <c r="IT60" s="1369"/>
      <c r="IU60" s="1369"/>
      <c r="IV60" s="1369"/>
    </row>
    <row r="61" spans="1:256" ht="15" x14ac:dyDescent="0.25">
      <c r="B61" s="2418" t="s">
        <v>323</v>
      </c>
      <c r="C61" s="2418"/>
      <c r="D61" s="2418"/>
      <c r="E61" s="2418"/>
      <c r="F61" s="2418"/>
      <c r="T61" s="1372"/>
      <c r="U61" s="1373"/>
    </row>
  </sheetData>
  <mergeCells count="13">
    <mergeCell ref="B61:F61"/>
    <mergeCell ref="P1:T1"/>
    <mergeCell ref="K3:N3"/>
    <mergeCell ref="BZ3:CA3"/>
    <mergeCell ref="A20:B20"/>
    <mergeCell ref="D20:E20"/>
    <mergeCell ref="A21:B21"/>
    <mergeCell ref="D21:E21"/>
    <mergeCell ref="E24:F24"/>
    <mergeCell ref="E25:F25"/>
    <mergeCell ref="E26:F26"/>
    <mergeCell ref="B52:G52"/>
    <mergeCell ref="B57:G5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0"/>
  <sheetViews>
    <sheetView workbookViewId="0">
      <selection sqref="A1:IV65536"/>
    </sheetView>
  </sheetViews>
  <sheetFormatPr defaultRowHeight="12.75" x14ac:dyDescent="0.2"/>
  <cols>
    <col min="1" max="1" width="3.42578125" style="1072" customWidth="1"/>
    <col min="2" max="2" width="9.28515625" style="1072" customWidth="1"/>
    <col min="3" max="3" width="6" style="1072" customWidth="1"/>
    <col min="4" max="4" width="5.7109375" style="1072" customWidth="1"/>
    <col min="5" max="5" width="5.28515625" style="1072" customWidth="1"/>
    <col min="6" max="6" width="4.7109375" style="1072" customWidth="1"/>
    <col min="7" max="7" width="16.140625" style="1072" customWidth="1"/>
    <col min="8" max="8" width="9.42578125" style="1072" customWidth="1"/>
    <col min="9" max="14" width="8.28515625" style="1072" customWidth="1"/>
    <col min="15" max="15" width="7.28515625" style="1072" customWidth="1"/>
    <col min="16" max="16" width="7.85546875" style="1072" customWidth="1"/>
    <col min="17" max="17" width="8.28515625" style="1072" customWidth="1"/>
    <col min="18" max="19" width="7.28515625" style="1072" customWidth="1"/>
    <col min="20" max="20" width="8.28515625" style="1072" customWidth="1"/>
    <col min="21" max="22" width="7" style="1072" customWidth="1"/>
    <col min="23" max="23" width="9" style="1072" customWidth="1"/>
    <col min="24" max="25" width="7" style="1072" customWidth="1"/>
    <col min="26" max="26" width="8.28515625" style="1072" customWidth="1"/>
    <col min="27" max="28" width="7" style="1072" customWidth="1"/>
    <col min="29" max="29" width="8.42578125" style="1072" customWidth="1"/>
    <col min="30" max="31" width="7" style="1072" customWidth="1"/>
    <col min="32" max="32" width="9.42578125" style="1072" customWidth="1"/>
    <col min="33" max="34" width="7" style="1072" customWidth="1"/>
    <col min="35" max="35" width="8.42578125" style="1072" customWidth="1"/>
    <col min="36" max="79" width="7" style="1072" customWidth="1"/>
    <col min="80" max="80" width="8.28515625" style="1072" customWidth="1"/>
    <col min="81" max="81" width="23.42578125" style="1072" customWidth="1"/>
    <col min="82" max="83" width="8.28515625" style="1072" customWidth="1"/>
    <col min="84" max="86" width="9.140625" style="1072" customWidth="1"/>
    <col min="87" max="256" width="9.140625" style="1072"/>
  </cols>
  <sheetData>
    <row r="1" spans="1:256" ht="18" x14ac:dyDescent="0.25">
      <c r="C1" s="1073" t="s">
        <v>61</v>
      </c>
      <c r="D1" s="1074"/>
      <c r="H1" s="1074"/>
      <c r="I1" s="1075"/>
      <c r="J1" s="1075"/>
      <c r="K1" s="1075"/>
      <c r="L1" s="1075"/>
      <c r="M1" s="1075"/>
      <c r="N1" s="1075"/>
      <c r="O1" s="1075"/>
      <c r="P1" s="2410" t="s">
        <v>284</v>
      </c>
      <c r="Q1" s="2410"/>
      <c r="R1" s="2410"/>
      <c r="S1" s="2410"/>
      <c r="T1" s="2410"/>
      <c r="U1" s="1075"/>
      <c r="BY1" s="1076" t="s">
        <v>285</v>
      </c>
    </row>
    <row r="2" spans="1:256" ht="14.25" x14ac:dyDescent="0.2">
      <c r="C2" s="1077"/>
      <c r="D2" s="1078"/>
      <c r="E2" s="1078"/>
      <c r="F2" s="1078"/>
    </row>
    <row r="3" spans="1:256" ht="18.75" thickBot="1" x14ac:dyDescent="0.3">
      <c r="B3" s="1079"/>
      <c r="C3" s="1080" t="s">
        <v>11</v>
      </c>
      <c r="D3" s="1080"/>
      <c r="E3" s="1080"/>
      <c r="F3" s="1081"/>
      <c r="G3" s="1080"/>
      <c r="H3" s="1080"/>
      <c r="J3" s="2411" t="s">
        <v>324</v>
      </c>
      <c r="K3" s="2411"/>
      <c r="L3" s="2411"/>
      <c r="M3" s="2411"/>
      <c r="N3" s="1436"/>
      <c r="O3" s="1079"/>
      <c r="P3" s="1079"/>
      <c r="BY3" s="1083" t="s">
        <v>3</v>
      </c>
      <c r="BZ3" s="2412">
        <f>'[3]Приложение 2_Авангард'!BZ3:CA3</f>
        <v>45644</v>
      </c>
      <c r="CA3" s="2412"/>
    </row>
    <row r="4" spans="1:256" ht="13.5" thickBot="1" x14ac:dyDescent="0.25">
      <c r="B4" s="1079"/>
      <c r="C4" s="1079"/>
      <c r="D4" s="1079"/>
      <c r="E4" s="1079"/>
      <c r="F4" s="1079"/>
      <c r="G4" s="1079"/>
      <c r="H4" s="1079"/>
      <c r="I4" s="1079"/>
      <c r="J4" s="1079"/>
      <c r="K4" s="1084"/>
      <c r="L4" s="1079"/>
      <c r="M4" s="1079"/>
    </row>
    <row r="5" spans="1:256" ht="13.5" thickBot="1" x14ac:dyDescent="0.25">
      <c r="A5" s="1085" t="s">
        <v>12</v>
      </c>
      <c r="B5" s="1086"/>
      <c r="C5" s="1086"/>
      <c r="D5" s="1087"/>
      <c r="E5" s="1087"/>
      <c r="F5" s="1088"/>
      <c r="G5" s="1089"/>
      <c r="H5" s="1090"/>
      <c r="I5" s="1091">
        <v>1</v>
      </c>
      <c r="J5" s="1092" t="s">
        <v>287</v>
      </c>
      <c r="K5" s="1093"/>
      <c r="L5" s="1094">
        <v>2</v>
      </c>
      <c r="M5" s="1095" t="s">
        <v>287</v>
      </c>
      <c r="N5" s="1090"/>
      <c r="O5" s="1091">
        <v>3</v>
      </c>
      <c r="P5" s="1092" t="s">
        <v>287</v>
      </c>
      <c r="Q5" s="1090"/>
      <c r="R5" s="1091">
        <v>4</v>
      </c>
      <c r="S5" s="1092" t="s">
        <v>287</v>
      </c>
      <c r="T5" s="1090"/>
      <c r="U5" s="1091">
        <v>5</v>
      </c>
      <c r="V5" s="1092" t="s">
        <v>287</v>
      </c>
      <c r="W5" s="1090"/>
      <c r="X5" s="1091">
        <v>6</v>
      </c>
      <c r="Y5" s="1092" t="s">
        <v>287</v>
      </c>
      <c r="Z5" s="1090"/>
      <c r="AA5" s="1091">
        <v>7</v>
      </c>
      <c r="AB5" s="1092" t="s">
        <v>287</v>
      </c>
      <c r="AC5" s="1090"/>
      <c r="AD5" s="1091">
        <v>8</v>
      </c>
      <c r="AE5" s="1092" t="s">
        <v>287</v>
      </c>
      <c r="AF5" s="1090"/>
      <c r="AG5" s="1091">
        <v>9</v>
      </c>
      <c r="AH5" s="1092" t="s">
        <v>287</v>
      </c>
      <c r="AI5" s="1090"/>
      <c r="AJ5" s="1091">
        <v>10</v>
      </c>
      <c r="AK5" s="1092" t="s">
        <v>287</v>
      </c>
      <c r="AL5" s="1090"/>
      <c r="AM5" s="1091">
        <v>11</v>
      </c>
      <c r="AN5" s="1092" t="s">
        <v>287</v>
      </c>
      <c r="AO5" s="1090"/>
      <c r="AP5" s="1091">
        <v>12</v>
      </c>
      <c r="AQ5" s="1092" t="s">
        <v>287</v>
      </c>
      <c r="AR5" s="1090"/>
      <c r="AS5" s="1091">
        <v>13</v>
      </c>
      <c r="AT5" s="1092" t="s">
        <v>287</v>
      </c>
      <c r="AU5" s="1090"/>
      <c r="AV5" s="1091">
        <v>14</v>
      </c>
      <c r="AW5" s="1092" t="s">
        <v>287</v>
      </c>
      <c r="AX5" s="1090"/>
      <c r="AY5" s="1091">
        <v>15</v>
      </c>
      <c r="AZ5" s="1092" t="s">
        <v>287</v>
      </c>
      <c r="BA5" s="1090"/>
      <c r="BB5" s="1091">
        <v>16</v>
      </c>
      <c r="BC5" s="1092" t="s">
        <v>287</v>
      </c>
      <c r="BD5" s="1090"/>
      <c r="BE5" s="1091">
        <v>17</v>
      </c>
      <c r="BF5" s="1092" t="s">
        <v>287</v>
      </c>
      <c r="BG5" s="1090"/>
      <c r="BH5" s="1091">
        <v>18</v>
      </c>
      <c r="BI5" s="1092" t="s">
        <v>287</v>
      </c>
      <c r="BJ5" s="1090"/>
      <c r="BK5" s="1091">
        <v>19</v>
      </c>
      <c r="BL5" s="1092" t="s">
        <v>287</v>
      </c>
      <c r="BM5" s="1090"/>
      <c r="BN5" s="1091">
        <v>20</v>
      </c>
      <c r="BO5" s="1092" t="s">
        <v>287</v>
      </c>
      <c r="BP5" s="1090"/>
      <c r="BQ5" s="1091">
        <v>21</v>
      </c>
      <c r="BR5" s="1092" t="s">
        <v>287</v>
      </c>
      <c r="BS5" s="1090"/>
      <c r="BT5" s="1091">
        <v>22</v>
      </c>
      <c r="BU5" s="1092" t="s">
        <v>287</v>
      </c>
      <c r="BV5" s="1097"/>
      <c r="BW5" s="1094">
        <v>23</v>
      </c>
      <c r="BX5" s="1095" t="s">
        <v>287</v>
      </c>
      <c r="BY5" s="1097"/>
      <c r="BZ5" s="1094">
        <v>24</v>
      </c>
      <c r="CA5" s="1098" t="s">
        <v>287</v>
      </c>
      <c r="CB5" s="1099"/>
      <c r="CC5" s="1099"/>
      <c r="CD5" s="1099"/>
      <c r="CE5" s="1099"/>
      <c r="CF5" s="1099"/>
      <c r="CG5" s="1099"/>
      <c r="CH5" s="1099"/>
      <c r="CI5" s="1099"/>
      <c r="CJ5" s="1099"/>
      <c r="CK5" s="1099"/>
      <c r="CL5" s="1099"/>
      <c r="CM5" s="1099"/>
      <c r="CN5" s="1099"/>
      <c r="CO5" s="1099"/>
      <c r="CP5" s="1099"/>
      <c r="CQ5" s="1099"/>
      <c r="CR5" s="1099"/>
      <c r="CS5" s="1099"/>
      <c r="CT5" s="1099"/>
      <c r="CU5" s="1099"/>
      <c r="CV5" s="1099"/>
      <c r="CW5" s="1099"/>
      <c r="CX5" s="1099"/>
      <c r="CY5" s="1099"/>
      <c r="CZ5" s="1099"/>
      <c r="DA5" s="1099"/>
      <c r="DB5" s="1099"/>
      <c r="DC5" s="1099"/>
      <c r="DD5" s="1099"/>
      <c r="DE5" s="1099"/>
      <c r="DF5" s="1099"/>
      <c r="DG5" s="1099"/>
      <c r="DH5" s="1099"/>
      <c r="DI5" s="1099"/>
      <c r="DJ5" s="1099"/>
      <c r="DK5" s="1099"/>
      <c r="DL5" s="1099"/>
      <c r="DM5" s="1099"/>
      <c r="DN5" s="1099"/>
      <c r="DO5" s="1099"/>
      <c r="DP5" s="1099"/>
      <c r="DQ5" s="1099"/>
      <c r="DR5" s="1099"/>
      <c r="DS5" s="1099"/>
      <c r="DT5" s="1099"/>
      <c r="DU5" s="1099"/>
      <c r="DV5" s="1099"/>
      <c r="DW5" s="1099"/>
      <c r="DX5" s="1099"/>
      <c r="DY5" s="1099"/>
      <c r="DZ5" s="1099"/>
      <c r="EA5" s="1099"/>
      <c r="EB5" s="1099"/>
      <c r="EC5" s="1099"/>
      <c r="ED5" s="1099"/>
      <c r="EE5" s="1099"/>
      <c r="EF5" s="1099"/>
      <c r="EG5" s="1099"/>
      <c r="EH5" s="1099"/>
      <c r="EI5" s="1099"/>
      <c r="EJ5" s="1099"/>
      <c r="EK5" s="1099"/>
      <c r="EL5" s="1099"/>
      <c r="EM5" s="1099"/>
      <c r="EN5" s="1099"/>
      <c r="EO5" s="1099"/>
      <c r="EP5" s="1099"/>
      <c r="EQ5" s="1099"/>
      <c r="ER5" s="1099"/>
      <c r="ES5" s="1099"/>
      <c r="ET5" s="1099"/>
      <c r="EU5" s="1099"/>
      <c r="EV5" s="1099"/>
      <c r="EW5" s="1099"/>
      <c r="EX5" s="1099"/>
      <c r="EY5" s="1099"/>
      <c r="EZ5" s="1099"/>
      <c r="FA5" s="1099"/>
      <c r="FB5" s="1099"/>
      <c r="FC5" s="1099"/>
      <c r="FD5" s="1099"/>
      <c r="FE5" s="1099"/>
      <c r="FF5" s="1099"/>
      <c r="FG5" s="1099"/>
      <c r="FH5" s="1099"/>
      <c r="FI5" s="1099"/>
      <c r="FJ5" s="1099"/>
      <c r="FK5" s="1099"/>
      <c r="FL5" s="1099"/>
      <c r="FM5" s="1099"/>
      <c r="FN5" s="1099"/>
      <c r="FO5" s="1099"/>
      <c r="FP5" s="1099"/>
      <c r="FQ5" s="1099"/>
      <c r="FR5" s="1099"/>
      <c r="FS5" s="1099"/>
      <c r="FT5" s="1099"/>
      <c r="FU5" s="1099"/>
      <c r="FV5" s="1099"/>
      <c r="FW5" s="1099"/>
      <c r="FX5" s="1099"/>
      <c r="FY5" s="1099"/>
      <c r="FZ5" s="1099"/>
      <c r="GA5" s="1099"/>
      <c r="GB5" s="1099"/>
      <c r="GC5" s="1099"/>
      <c r="GD5" s="1099"/>
      <c r="GE5" s="1099"/>
      <c r="GF5" s="1099"/>
      <c r="GG5" s="1099"/>
      <c r="GH5" s="1099"/>
      <c r="GI5" s="1099"/>
      <c r="GJ5" s="1099"/>
      <c r="GK5" s="1099"/>
      <c r="GL5" s="1099"/>
      <c r="GM5" s="1099"/>
      <c r="GN5" s="1099"/>
      <c r="GO5" s="1099"/>
      <c r="GP5" s="1099"/>
      <c r="GQ5" s="1099"/>
      <c r="GR5" s="1099"/>
      <c r="GS5" s="1099"/>
      <c r="GT5" s="1099"/>
      <c r="GU5" s="1099"/>
      <c r="GV5" s="1099"/>
      <c r="GW5" s="1099"/>
      <c r="GX5" s="1099"/>
      <c r="GY5" s="1099"/>
      <c r="GZ5" s="1099"/>
      <c r="HA5" s="1099"/>
      <c r="HB5" s="1099"/>
      <c r="HC5" s="1099"/>
      <c r="HD5" s="1099"/>
      <c r="HE5" s="1099"/>
      <c r="HF5" s="1099"/>
      <c r="HG5" s="1099"/>
      <c r="HH5" s="1099"/>
      <c r="HI5" s="1099"/>
      <c r="HJ5" s="1099"/>
      <c r="HK5" s="1099"/>
      <c r="HL5" s="1099"/>
      <c r="HM5" s="1099"/>
      <c r="HN5" s="1099"/>
      <c r="HO5" s="1099"/>
      <c r="HP5" s="1099"/>
      <c r="HQ5" s="1099"/>
      <c r="HR5" s="1099"/>
      <c r="HS5" s="1099"/>
      <c r="HT5" s="1099"/>
      <c r="HU5" s="1099"/>
      <c r="HV5" s="1099"/>
      <c r="HW5" s="1099"/>
      <c r="HX5" s="1099"/>
      <c r="HY5" s="1099"/>
      <c r="HZ5" s="1099"/>
      <c r="IA5" s="1099"/>
      <c r="IB5" s="1099"/>
      <c r="IC5" s="1099"/>
      <c r="ID5" s="1099"/>
      <c r="IE5" s="1099"/>
      <c r="IF5" s="1099"/>
      <c r="IG5" s="1099"/>
      <c r="IH5" s="1099"/>
      <c r="II5" s="1099"/>
      <c r="IJ5" s="1099"/>
      <c r="IK5" s="1099"/>
      <c r="IL5" s="1099"/>
      <c r="IM5" s="1099"/>
      <c r="IN5" s="1099"/>
      <c r="IO5" s="1099"/>
      <c r="IP5" s="1099"/>
      <c r="IQ5" s="1099"/>
      <c r="IR5" s="1099"/>
      <c r="IS5" s="1099"/>
      <c r="IT5" s="1099"/>
      <c r="IU5" s="1099"/>
      <c r="IV5" s="1099"/>
    </row>
    <row r="6" spans="1:256" x14ac:dyDescent="0.2">
      <c r="A6" s="1085" t="s">
        <v>17</v>
      </c>
      <c r="B6" s="1100"/>
      <c r="C6" s="1100" t="s">
        <v>16</v>
      </c>
      <c r="D6" s="1101"/>
      <c r="E6" s="1101"/>
      <c r="F6" s="1102"/>
      <c r="G6" s="1102"/>
      <c r="H6" s="1103" t="s">
        <v>4</v>
      </c>
      <c r="I6" s="1104" t="s">
        <v>9</v>
      </c>
      <c r="J6" s="1105" t="s">
        <v>10</v>
      </c>
      <c r="K6" s="1103" t="s">
        <v>4</v>
      </c>
      <c r="L6" s="1104" t="s">
        <v>9</v>
      </c>
      <c r="M6" s="1105" t="s">
        <v>10</v>
      </c>
      <c r="N6" s="1103" t="s">
        <v>4</v>
      </c>
      <c r="O6" s="1104" t="s">
        <v>9</v>
      </c>
      <c r="P6" s="1105" t="s">
        <v>10</v>
      </c>
      <c r="Q6" s="1103" t="s">
        <v>4</v>
      </c>
      <c r="R6" s="1104" t="s">
        <v>9</v>
      </c>
      <c r="S6" s="1105" t="s">
        <v>10</v>
      </c>
      <c r="T6" s="1103" t="s">
        <v>4</v>
      </c>
      <c r="U6" s="1104" t="s">
        <v>9</v>
      </c>
      <c r="V6" s="1105" t="s">
        <v>10</v>
      </c>
      <c r="W6" s="1103" t="s">
        <v>4</v>
      </c>
      <c r="X6" s="1104" t="s">
        <v>9</v>
      </c>
      <c r="Y6" s="1105" t="s">
        <v>10</v>
      </c>
      <c r="Z6" s="1103" t="s">
        <v>4</v>
      </c>
      <c r="AA6" s="1104" t="s">
        <v>9</v>
      </c>
      <c r="AB6" s="1105" t="s">
        <v>10</v>
      </c>
      <c r="AC6" s="1103" t="s">
        <v>4</v>
      </c>
      <c r="AD6" s="1104" t="s">
        <v>9</v>
      </c>
      <c r="AE6" s="1105" t="s">
        <v>10</v>
      </c>
      <c r="AF6" s="1103" t="s">
        <v>4</v>
      </c>
      <c r="AG6" s="1104" t="s">
        <v>9</v>
      </c>
      <c r="AH6" s="1105" t="s">
        <v>10</v>
      </c>
      <c r="AI6" s="1103" t="s">
        <v>4</v>
      </c>
      <c r="AJ6" s="1104" t="s">
        <v>9</v>
      </c>
      <c r="AK6" s="1105" t="s">
        <v>10</v>
      </c>
      <c r="AL6" s="1103" t="s">
        <v>4</v>
      </c>
      <c r="AM6" s="1104" t="s">
        <v>9</v>
      </c>
      <c r="AN6" s="1105" t="s">
        <v>10</v>
      </c>
      <c r="AO6" s="1103" t="s">
        <v>4</v>
      </c>
      <c r="AP6" s="1104" t="s">
        <v>9</v>
      </c>
      <c r="AQ6" s="1105" t="s">
        <v>10</v>
      </c>
      <c r="AR6" s="1103" t="s">
        <v>4</v>
      </c>
      <c r="AS6" s="1104" t="s">
        <v>9</v>
      </c>
      <c r="AT6" s="1105" t="s">
        <v>10</v>
      </c>
      <c r="AU6" s="1103" t="s">
        <v>4</v>
      </c>
      <c r="AV6" s="1104" t="s">
        <v>9</v>
      </c>
      <c r="AW6" s="1105" t="s">
        <v>10</v>
      </c>
      <c r="AX6" s="1103" t="s">
        <v>4</v>
      </c>
      <c r="AY6" s="1104" t="s">
        <v>9</v>
      </c>
      <c r="AZ6" s="1105" t="s">
        <v>10</v>
      </c>
      <c r="BA6" s="1103" t="s">
        <v>4</v>
      </c>
      <c r="BB6" s="1104" t="s">
        <v>9</v>
      </c>
      <c r="BC6" s="1105" t="s">
        <v>10</v>
      </c>
      <c r="BD6" s="1103" t="s">
        <v>4</v>
      </c>
      <c r="BE6" s="1104" t="s">
        <v>9</v>
      </c>
      <c r="BF6" s="1105" t="s">
        <v>10</v>
      </c>
      <c r="BG6" s="1103" t="s">
        <v>4</v>
      </c>
      <c r="BH6" s="1104" t="s">
        <v>9</v>
      </c>
      <c r="BI6" s="1105" t="s">
        <v>10</v>
      </c>
      <c r="BJ6" s="1103" t="s">
        <v>4</v>
      </c>
      <c r="BK6" s="1104" t="s">
        <v>9</v>
      </c>
      <c r="BL6" s="1105" t="s">
        <v>10</v>
      </c>
      <c r="BM6" s="1103" t="s">
        <v>4</v>
      </c>
      <c r="BN6" s="1104" t="s">
        <v>9</v>
      </c>
      <c r="BO6" s="1105" t="s">
        <v>10</v>
      </c>
      <c r="BP6" s="1103" t="s">
        <v>4</v>
      </c>
      <c r="BQ6" s="1104" t="s">
        <v>9</v>
      </c>
      <c r="BR6" s="1105" t="s">
        <v>10</v>
      </c>
      <c r="BS6" s="1103" t="s">
        <v>4</v>
      </c>
      <c r="BT6" s="1104" t="s">
        <v>9</v>
      </c>
      <c r="BU6" s="1105" t="s">
        <v>10</v>
      </c>
      <c r="BV6" s="1106" t="s">
        <v>4</v>
      </c>
      <c r="BW6" s="1107" t="s">
        <v>9</v>
      </c>
      <c r="BX6" s="1108" t="s">
        <v>10</v>
      </c>
      <c r="BY6" s="1382" t="s">
        <v>4</v>
      </c>
      <c r="BZ6" s="1107" t="s">
        <v>9</v>
      </c>
      <c r="CA6" s="1108" t="s">
        <v>10</v>
      </c>
      <c r="CB6" s="1099"/>
      <c r="CC6" s="1099"/>
      <c r="CD6" s="1099"/>
      <c r="CE6" s="1099"/>
      <c r="CF6" s="1099"/>
      <c r="CG6" s="1099"/>
      <c r="CH6" s="1099"/>
      <c r="CI6" s="1099"/>
      <c r="CJ6" s="1099"/>
      <c r="CK6" s="1099"/>
      <c r="CL6" s="1099"/>
      <c r="CM6" s="1099"/>
      <c r="CN6" s="1099"/>
      <c r="CO6" s="1099"/>
      <c r="CP6" s="1099"/>
      <c r="CQ6" s="1099"/>
      <c r="CR6" s="1099"/>
      <c r="CS6" s="1099"/>
      <c r="CT6" s="1099"/>
      <c r="CU6" s="1099"/>
      <c r="CV6" s="1099"/>
      <c r="CW6" s="1099"/>
      <c r="CX6" s="1099"/>
      <c r="CY6" s="1099"/>
      <c r="CZ6" s="1099"/>
      <c r="DA6" s="1099"/>
      <c r="DB6" s="1099"/>
      <c r="DC6" s="1099"/>
      <c r="DD6" s="1099"/>
      <c r="DE6" s="1099"/>
      <c r="DF6" s="1099"/>
      <c r="DG6" s="1099"/>
      <c r="DH6" s="1099"/>
      <c r="DI6" s="1099"/>
      <c r="DJ6" s="1099"/>
      <c r="DK6" s="1099"/>
      <c r="DL6" s="1099"/>
      <c r="DM6" s="1099"/>
      <c r="DN6" s="1099"/>
      <c r="DO6" s="1099"/>
      <c r="DP6" s="1099"/>
      <c r="DQ6" s="1099"/>
      <c r="DR6" s="1099"/>
      <c r="DS6" s="1099"/>
      <c r="DT6" s="1099"/>
      <c r="DU6" s="1099"/>
      <c r="DV6" s="1099"/>
      <c r="DW6" s="1099"/>
      <c r="DX6" s="1099"/>
      <c r="DY6" s="1099"/>
      <c r="DZ6" s="1099"/>
      <c r="EA6" s="1099"/>
      <c r="EB6" s="1099"/>
      <c r="EC6" s="1099"/>
      <c r="ED6" s="1099"/>
      <c r="EE6" s="1099"/>
      <c r="EF6" s="1099"/>
      <c r="EG6" s="1099"/>
      <c r="EH6" s="1099"/>
      <c r="EI6" s="1099"/>
      <c r="EJ6" s="1099"/>
      <c r="EK6" s="1099"/>
      <c r="EL6" s="1099"/>
      <c r="EM6" s="1099"/>
      <c r="EN6" s="1099"/>
      <c r="EO6" s="1099"/>
      <c r="EP6" s="1099"/>
      <c r="EQ6" s="1099"/>
      <c r="ER6" s="1099"/>
      <c r="ES6" s="1099"/>
      <c r="ET6" s="1099"/>
      <c r="EU6" s="1099"/>
      <c r="EV6" s="1099"/>
      <c r="EW6" s="1099"/>
      <c r="EX6" s="1099"/>
      <c r="EY6" s="1099"/>
      <c r="EZ6" s="1099"/>
      <c r="FA6" s="1099"/>
      <c r="FB6" s="1099"/>
      <c r="FC6" s="1099"/>
      <c r="FD6" s="1099"/>
      <c r="FE6" s="1099"/>
      <c r="FF6" s="1099"/>
      <c r="FG6" s="1099"/>
      <c r="FH6" s="1099"/>
      <c r="FI6" s="1099"/>
      <c r="FJ6" s="1099"/>
      <c r="FK6" s="1099"/>
      <c r="FL6" s="1099"/>
      <c r="FM6" s="1099"/>
      <c r="FN6" s="1099"/>
      <c r="FO6" s="1099"/>
      <c r="FP6" s="1099"/>
      <c r="FQ6" s="1099"/>
      <c r="FR6" s="1099"/>
      <c r="FS6" s="1099"/>
      <c r="FT6" s="1099"/>
      <c r="FU6" s="1099"/>
      <c r="FV6" s="1099"/>
      <c r="FW6" s="1099"/>
      <c r="FX6" s="1099"/>
      <c r="FY6" s="1099"/>
      <c r="FZ6" s="1099"/>
      <c r="GA6" s="1099"/>
      <c r="GB6" s="1099"/>
      <c r="GC6" s="1099"/>
      <c r="GD6" s="1099"/>
      <c r="GE6" s="1099"/>
      <c r="GF6" s="1099"/>
      <c r="GG6" s="1099"/>
      <c r="GH6" s="1099"/>
      <c r="GI6" s="1099"/>
      <c r="GJ6" s="1099"/>
      <c r="GK6" s="1099"/>
      <c r="GL6" s="1099"/>
      <c r="GM6" s="1099"/>
      <c r="GN6" s="1099"/>
      <c r="GO6" s="1099"/>
      <c r="GP6" s="1099"/>
      <c r="GQ6" s="1099"/>
      <c r="GR6" s="1099"/>
      <c r="GS6" s="1099"/>
      <c r="GT6" s="1099"/>
      <c r="GU6" s="1099"/>
      <c r="GV6" s="1099"/>
      <c r="GW6" s="1099"/>
      <c r="GX6" s="1099"/>
      <c r="GY6" s="1099"/>
      <c r="GZ6" s="1099"/>
      <c r="HA6" s="1099"/>
      <c r="HB6" s="1099"/>
      <c r="HC6" s="1099"/>
      <c r="HD6" s="1099"/>
      <c r="HE6" s="1099"/>
      <c r="HF6" s="1099"/>
      <c r="HG6" s="1099"/>
      <c r="HH6" s="1099"/>
      <c r="HI6" s="1099"/>
      <c r="HJ6" s="1099"/>
      <c r="HK6" s="1099"/>
      <c r="HL6" s="1099"/>
      <c r="HM6" s="1099"/>
      <c r="HN6" s="1099"/>
      <c r="HO6" s="1099"/>
      <c r="HP6" s="1099"/>
      <c r="HQ6" s="1099"/>
      <c r="HR6" s="1099"/>
      <c r="HS6" s="1099"/>
      <c r="HT6" s="1099"/>
      <c r="HU6" s="1099"/>
      <c r="HV6" s="1099"/>
      <c r="HW6" s="1099"/>
      <c r="HX6" s="1099"/>
      <c r="HY6" s="1099"/>
      <c r="HZ6" s="1099"/>
      <c r="IA6" s="1099"/>
      <c r="IB6" s="1099"/>
      <c r="IC6" s="1099"/>
      <c r="ID6" s="1099"/>
      <c r="IE6" s="1099"/>
      <c r="IF6" s="1099"/>
      <c r="IG6" s="1099"/>
      <c r="IH6" s="1099"/>
      <c r="II6" s="1099"/>
      <c r="IJ6" s="1099"/>
      <c r="IK6" s="1099"/>
      <c r="IL6" s="1099"/>
      <c r="IM6" s="1099"/>
      <c r="IN6" s="1099"/>
      <c r="IO6" s="1099"/>
      <c r="IP6" s="1099"/>
      <c r="IQ6" s="1099"/>
      <c r="IR6" s="1099"/>
      <c r="IS6" s="1099"/>
      <c r="IT6" s="1099"/>
      <c r="IU6" s="1099"/>
      <c r="IV6" s="1099"/>
    </row>
    <row r="7" spans="1:256" ht="13.5" thickBot="1" x14ac:dyDescent="0.25">
      <c r="A7" s="1110" t="s">
        <v>18</v>
      </c>
      <c r="B7" s="1111"/>
      <c r="C7" s="1112" t="s">
        <v>28</v>
      </c>
      <c r="D7" s="1113"/>
      <c r="E7" s="1113"/>
      <c r="F7" s="1114"/>
      <c r="G7" s="1114"/>
      <c r="H7" s="1115" t="s">
        <v>30</v>
      </c>
      <c r="I7" s="1116"/>
      <c r="J7" s="1117"/>
      <c r="K7" s="1118" t="s">
        <v>30</v>
      </c>
      <c r="L7" s="1119" t="s">
        <v>31</v>
      </c>
      <c r="M7" s="1120" t="s">
        <v>44</v>
      </c>
      <c r="N7" s="1115" t="s">
        <v>30</v>
      </c>
      <c r="O7" s="1116" t="s">
        <v>31</v>
      </c>
      <c r="P7" s="1117" t="s">
        <v>44</v>
      </c>
      <c r="Q7" s="1115" t="s">
        <v>30</v>
      </c>
      <c r="R7" s="1116" t="s">
        <v>31</v>
      </c>
      <c r="S7" s="1117" t="s">
        <v>44</v>
      </c>
      <c r="T7" s="1115" t="s">
        <v>30</v>
      </c>
      <c r="U7" s="1116" t="s">
        <v>31</v>
      </c>
      <c r="V7" s="1117" t="s">
        <v>44</v>
      </c>
      <c r="W7" s="1115" t="s">
        <v>30</v>
      </c>
      <c r="X7" s="1116" t="s">
        <v>31</v>
      </c>
      <c r="Y7" s="1117" t="s">
        <v>44</v>
      </c>
      <c r="Z7" s="1115" t="s">
        <v>30</v>
      </c>
      <c r="AA7" s="1116" t="s">
        <v>31</v>
      </c>
      <c r="AB7" s="1117" t="s">
        <v>44</v>
      </c>
      <c r="AC7" s="1115" t="s">
        <v>30</v>
      </c>
      <c r="AD7" s="1116" t="s">
        <v>31</v>
      </c>
      <c r="AE7" s="1117" t="s">
        <v>44</v>
      </c>
      <c r="AF7" s="1115" t="s">
        <v>30</v>
      </c>
      <c r="AG7" s="1116" t="s">
        <v>31</v>
      </c>
      <c r="AH7" s="1117" t="s">
        <v>44</v>
      </c>
      <c r="AI7" s="1115" t="s">
        <v>30</v>
      </c>
      <c r="AJ7" s="1116" t="s">
        <v>31</v>
      </c>
      <c r="AK7" s="1117" t="s">
        <v>44</v>
      </c>
      <c r="AL7" s="1115" t="s">
        <v>30</v>
      </c>
      <c r="AM7" s="1116" t="s">
        <v>31</v>
      </c>
      <c r="AN7" s="1117" t="s">
        <v>44</v>
      </c>
      <c r="AO7" s="1115" t="s">
        <v>30</v>
      </c>
      <c r="AP7" s="1116" t="s">
        <v>31</v>
      </c>
      <c r="AQ7" s="1117" t="s">
        <v>44</v>
      </c>
      <c r="AR7" s="1115" t="s">
        <v>30</v>
      </c>
      <c r="AS7" s="1116" t="s">
        <v>31</v>
      </c>
      <c r="AT7" s="1117" t="s">
        <v>44</v>
      </c>
      <c r="AU7" s="1115" t="s">
        <v>30</v>
      </c>
      <c r="AV7" s="1116" t="s">
        <v>31</v>
      </c>
      <c r="AW7" s="1117" t="s">
        <v>44</v>
      </c>
      <c r="AX7" s="1115" t="s">
        <v>30</v>
      </c>
      <c r="AY7" s="1116" t="s">
        <v>31</v>
      </c>
      <c r="AZ7" s="1117" t="s">
        <v>44</v>
      </c>
      <c r="BA7" s="1115" t="s">
        <v>30</v>
      </c>
      <c r="BB7" s="1116" t="s">
        <v>31</v>
      </c>
      <c r="BC7" s="1117" t="s">
        <v>44</v>
      </c>
      <c r="BD7" s="1115" t="s">
        <v>30</v>
      </c>
      <c r="BE7" s="1116" t="s">
        <v>31</v>
      </c>
      <c r="BF7" s="1117" t="s">
        <v>44</v>
      </c>
      <c r="BG7" s="1115" t="s">
        <v>30</v>
      </c>
      <c r="BH7" s="1116" t="s">
        <v>31</v>
      </c>
      <c r="BI7" s="1117" t="s">
        <v>44</v>
      </c>
      <c r="BJ7" s="1115" t="s">
        <v>30</v>
      </c>
      <c r="BK7" s="1116" t="s">
        <v>31</v>
      </c>
      <c r="BL7" s="1117" t="s">
        <v>44</v>
      </c>
      <c r="BM7" s="1115" t="s">
        <v>30</v>
      </c>
      <c r="BN7" s="1116" t="s">
        <v>31</v>
      </c>
      <c r="BO7" s="1117" t="s">
        <v>44</v>
      </c>
      <c r="BP7" s="1115" t="s">
        <v>30</v>
      </c>
      <c r="BQ7" s="1116" t="s">
        <v>31</v>
      </c>
      <c r="BR7" s="1117" t="s">
        <v>44</v>
      </c>
      <c r="BS7" s="1115" t="s">
        <v>30</v>
      </c>
      <c r="BT7" s="1116" t="s">
        <v>31</v>
      </c>
      <c r="BU7" s="1117" t="s">
        <v>44</v>
      </c>
      <c r="BV7" s="1118" t="s">
        <v>30</v>
      </c>
      <c r="BW7" s="1119" t="s">
        <v>31</v>
      </c>
      <c r="BX7" s="1120" t="s">
        <v>44</v>
      </c>
      <c r="BY7" s="1118" t="s">
        <v>30</v>
      </c>
      <c r="BZ7" s="1119" t="s">
        <v>31</v>
      </c>
      <c r="CA7" s="1120" t="s">
        <v>44</v>
      </c>
      <c r="CB7" s="1099"/>
      <c r="CC7" s="1099"/>
      <c r="CD7" s="1099"/>
      <c r="CE7" s="1099"/>
      <c r="CF7" s="1099"/>
      <c r="CG7" s="1099"/>
      <c r="CH7" s="1099"/>
      <c r="CI7" s="1099"/>
      <c r="CJ7" s="1099"/>
      <c r="CK7" s="1099"/>
      <c r="CL7" s="1099"/>
      <c r="CM7" s="1099"/>
      <c r="CN7" s="1099"/>
      <c r="CO7" s="1099"/>
      <c r="CP7" s="1099"/>
      <c r="CQ7" s="1099"/>
      <c r="CR7" s="1099"/>
      <c r="CS7" s="1099"/>
      <c r="CT7" s="1099"/>
      <c r="CU7" s="1099"/>
      <c r="CV7" s="1099"/>
      <c r="CW7" s="1099"/>
      <c r="CX7" s="1099"/>
      <c r="CY7" s="1099"/>
      <c r="CZ7" s="1099"/>
      <c r="DA7" s="1099"/>
      <c r="DB7" s="1099"/>
      <c r="DC7" s="1099"/>
      <c r="DD7" s="1099"/>
      <c r="DE7" s="1099"/>
      <c r="DF7" s="1099"/>
      <c r="DG7" s="1099"/>
      <c r="DH7" s="1099"/>
      <c r="DI7" s="1099"/>
      <c r="DJ7" s="1099"/>
      <c r="DK7" s="1099"/>
      <c r="DL7" s="1099"/>
      <c r="DM7" s="1099"/>
      <c r="DN7" s="1099"/>
      <c r="DO7" s="1099"/>
      <c r="DP7" s="1099"/>
      <c r="DQ7" s="1099"/>
      <c r="DR7" s="1099"/>
      <c r="DS7" s="1099"/>
      <c r="DT7" s="1099"/>
      <c r="DU7" s="1099"/>
      <c r="DV7" s="1099"/>
      <c r="DW7" s="1099"/>
      <c r="DX7" s="1099"/>
      <c r="DY7" s="1099"/>
      <c r="DZ7" s="1099"/>
      <c r="EA7" s="1099"/>
      <c r="EB7" s="1099"/>
      <c r="EC7" s="1099"/>
      <c r="ED7" s="1099"/>
      <c r="EE7" s="1099"/>
      <c r="EF7" s="1099"/>
      <c r="EG7" s="1099"/>
      <c r="EH7" s="1099"/>
      <c r="EI7" s="1099"/>
      <c r="EJ7" s="1099"/>
      <c r="EK7" s="1099"/>
      <c r="EL7" s="1099"/>
      <c r="EM7" s="1099"/>
      <c r="EN7" s="1099"/>
      <c r="EO7" s="1099"/>
      <c r="EP7" s="1099"/>
      <c r="EQ7" s="1099"/>
      <c r="ER7" s="1099"/>
      <c r="ES7" s="1099"/>
      <c r="ET7" s="1099"/>
      <c r="EU7" s="1099"/>
      <c r="EV7" s="1099"/>
      <c r="EW7" s="1099"/>
      <c r="EX7" s="1099"/>
      <c r="EY7" s="1099"/>
      <c r="EZ7" s="1099"/>
      <c r="FA7" s="1099"/>
      <c r="FB7" s="1099"/>
      <c r="FC7" s="1099"/>
      <c r="FD7" s="1099"/>
      <c r="FE7" s="1099"/>
      <c r="FF7" s="1099"/>
      <c r="FG7" s="1099"/>
      <c r="FH7" s="1099"/>
      <c r="FI7" s="1099"/>
      <c r="FJ7" s="1099"/>
      <c r="FK7" s="1099"/>
      <c r="FL7" s="1099"/>
      <c r="FM7" s="1099"/>
      <c r="FN7" s="1099"/>
      <c r="FO7" s="1099"/>
      <c r="FP7" s="1099"/>
      <c r="FQ7" s="1099"/>
      <c r="FR7" s="1099"/>
      <c r="FS7" s="1099"/>
      <c r="FT7" s="1099"/>
      <c r="FU7" s="1099"/>
      <c r="FV7" s="1099"/>
      <c r="FW7" s="1099"/>
      <c r="FX7" s="1099"/>
      <c r="FY7" s="1099"/>
      <c r="FZ7" s="1099"/>
      <c r="GA7" s="1099"/>
      <c r="GB7" s="1099"/>
      <c r="GC7" s="1099"/>
      <c r="GD7" s="1099"/>
      <c r="GE7" s="1099"/>
      <c r="GF7" s="1099"/>
      <c r="GG7" s="1099"/>
      <c r="GH7" s="1099"/>
      <c r="GI7" s="1099"/>
      <c r="GJ7" s="1099"/>
      <c r="GK7" s="1099"/>
      <c r="GL7" s="1099"/>
      <c r="GM7" s="1099"/>
      <c r="GN7" s="1099"/>
      <c r="GO7" s="1099"/>
      <c r="GP7" s="1099"/>
      <c r="GQ7" s="1099"/>
      <c r="GR7" s="1099"/>
      <c r="GS7" s="1099"/>
      <c r="GT7" s="1099"/>
      <c r="GU7" s="1099"/>
      <c r="GV7" s="1099"/>
      <c r="GW7" s="1099"/>
      <c r="GX7" s="1099"/>
      <c r="GY7" s="1099"/>
      <c r="GZ7" s="1099"/>
      <c r="HA7" s="1099"/>
      <c r="HB7" s="1099"/>
      <c r="HC7" s="1099"/>
      <c r="HD7" s="1099"/>
      <c r="HE7" s="1099"/>
      <c r="HF7" s="1099"/>
      <c r="HG7" s="1099"/>
      <c r="HH7" s="1099"/>
      <c r="HI7" s="1099"/>
      <c r="HJ7" s="1099"/>
      <c r="HK7" s="1099"/>
      <c r="HL7" s="1099"/>
      <c r="HM7" s="1099"/>
      <c r="HN7" s="1099"/>
      <c r="HO7" s="1099"/>
      <c r="HP7" s="1099"/>
      <c r="HQ7" s="1099"/>
      <c r="HR7" s="1099"/>
      <c r="HS7" s="1099"/>
      <c r="HT7" s="1099"/>
      <c r="HU7" s="1099"/>
      <c r="HV7" s="1099"/>
      <c r="HW7" s="1099"/>
      <c r="HX7" s="1099"/>
      <c r="HY7" s="1099"/>
      <c r="HZ7" s="1099"/>
      <c r="IA7" s="1099"/>
      <c r="IB7" s="1099"/>
      <c r="IC7" s="1099"/>
      <c r="ID7" s="1099"/>
      <c r="IE7" s="1099"/>
      <c r="IF7" s="1099"/>
      <c r="IG7" s="1099"/>
      <c r="IH7" s="1099"/>
      <c r="II7" s="1099"/>
      <c r="IJ7" s="1099"/>
      <c r="IK7" s="1099"/>
      <c r="IL7" s="1099"/>
      <c r="IM7" s="1099"/>
      <c r="IN7" s="1099"/>
      <c r="IO7" s="1099"/>
      <c r="IP7" s="1099"/>
      <c r="IQ7" s="1099"/>
      <c r="IR7" s="1099"/>
      <c r="IS7" s="1099"/>
      <c r="IT7" s="1099"/>
      <c r="IU7" s="1099"/>
      <c r="IV7" s="1099"/>
    </row>
    <row r="8" spans="1:256" x14ac:dyDescent="0.2">
      <c r="A8" s="1121"/>
      <c r="B8" s="1122"/>
      <c r="C8" s="1437"/>
      <c r="D8" s="1124"/>
      <c r="E8" s="1125"/>
      <c r="F8" s="1124" t="s">
        <v>33</v>
      </c>
      <c r="G8" s="1126"/>
      <c r="H8" s="1127">
        <f>SQRT(I8^2+J8^2)*1000/(1.73*I12)</f>
        <v>32.263898761491312</v>
      </c>
      <c r="I8" s="1128">
        <v>6.5010000000000003</v>
      </c>
      <c r="J8" s="1129">
        <v>0.62040000000000006</v>
      </c>
      <c r="K8" s="1127">
        <f>SQRT(L8^2+M8^2)*1000/(1.73*L12)</f>
        <v>30.501866785393641</v>
      </c>
      <c r="L8" s="1128">
        <v>6.1446000000000005</v>
      </c>
      <c r="M8" s="1129">
        <v>0.60060000000000002</v>
      </c>
      <c r="N8" s="1127">
        <f>SQRT(O8^2+P8^2)*1000/(1.73*O12)</f>
        <v>29.658218313404557</v>
      </c>
      <c r="O8" s="1128">
        <v>5.9729999999999999</v>
      </c>
      <c r="P8" s="1129">
        <v>0.60059999999999991</v>
      </c>
      <c r="Q8" s="1127">
        <f>SQRT(R8^2+S8^2)*1000/(1.73*R12)</f>
        <v>28.931470756735482</v>
      </c>
      <c r="R8" s="1128">
        <v>5.8277999999999999</v>
      </c>
      <c r="S8" s="1129">
        <v>0.57420000000000004</v>
      </c>
      <c r="T8" s="1127">
        <f>SQRT(U8^2+V8^2)*1000/(1.73*U12)</f>
        <v>28.999579598183672</v>
      </c>
      <c r="U8" s="1128">
        <v>5.8410000000000002</v>
      </c>
      <c r="V8" s="1129">
        <v>0.58079999999999998</v>
      </c>
      <c r="W8" s="1127">
        <f>SQRT(X8^2+Y8^2)*1000/(1.73*X12)</f>
        <v>30.235929111816738</v>
      </c>
      <c r="X8" s="1128">
        <v>6.0918000000000001</v>
      </c>
      <c r="Y8" s="1129">
        <v>0.58739999999999992</v>
      </c>
      <c r="Z8" s="1127">
        <f>SQRT(AA8^2+AB8^2)*1000/(1.73*AA12)</f>
        <v>34.223912013029192</v>
      </c>
      <c r="AA8" s="1128">
        <v>6.8970000000000002</v>
      </c>
      <c r="AB8" s="1129">
        <v>0.64679999999999993</v>
      </c>
      <c r="AC8" s="1127">
        <f>SQRT(AD8^2+AE8^2)*1000/(1.73*AD12)</f>
        <v>38.749757808258963</v>
      </c>
      <c r="AD8" s="1128">
        <v>7.8077999999999994</v>
      </c>
      <c r="AE8" s="1129">
        <v>0.74579999999999991</v>
      </c>
      <c r="AF8" s="1127">
        <f>SQRT(AG8^2+AH8^2)*1000/(1.73*AG12)</f>
        <v>40.222831350320867</v>
      </c>
      <c r="AG8" s="1128">
        <v>8.1048000000000009</v>
      </c>
      <c r="AH8" s="1129">
        <v>0.7722</v>
      </c>
      <c r="AI8" s="1127">
        <f>SQRT(AJ8^2+AK8^2)*1000/(1.73*AJ12)</f>
        <v>39.745468173042816</v>
      </c>
      <c r="AJ8" s="1128">
        <v>8.0058000000000007</v>
      </c>
      <c r="AK8" s="1129">
        <v>0.79200000000000004</v>
      </c>
      <c r="AL8" s="1127">
        <f>SQRT(AM8^2+AN8^2)*1000/(1.73*AM12)</f>
        <v>39.933828787079719</v>
      </c>
      <c r="AM8" s="1128">
        <v>8.045399999999999</v>
      </c>
      <c r="AN8" s="1129">
        <v>0.77879999999999994</v>
      </c>
      <c r="AO8" s="1127">
        <f>SQRT(AP8^2+AQ8^2)*1000/(1.73*AP12)</f>
        <v>40.190199427461536</v>
      </c>
      <c r="AP8" s="1128">
        <v>8.0915999999999997</v>
      </c>
      <c r="AQ8" s="1129">
        <v>0.83820000000000006</v>
      </c>
      <c r="AR8" s="1127">
        <f>SQRT(AS8^2+AT8^2)*1000/(1.73*AS12)</f>
        <v>40.666891359016084</v>
      </c>
      <c r="AS8" s="1128">
        <v>8.1905999999999999</v>
      </c>
      <c r="AT8" s="1129">
        <v>0.81840000000000002</v>
      </c>
      <c r="AU8" s="1127">
        <f>SQRT(AV8^2+AW8^2)*1000/(1.73*AV12)</f>
        <v>40.274303691634053</v>
      </c>
      <c r="AV8" s="1128">
        <v>8.1113999999999997</v>
      </c>
      <c r="AW8" s="1129">
        <v>0.81179999999999997</v>
      </c>
      <c r="AX8" s="1127">
        <f>SQRT(AY8^2+AZ8^2)*1000/(1.73*AY12)</f>
        <v>39.781137697471664</v>
      </c>
      <c r="AY8" s="1128">
        <v>8.0123999999999995</v>
      </c>
      <c r="AZ8" s="1129">
        <v>0.79859999999999998</v>
      </c>
      <c r="BA8" s="1127">
        <f>SQRT(BB8^2+BC8^2)*1000/(1.73*BB12)</f>
        <v>41.422870405598331</v>
      </c>
      <c r="BB8" s="1128">
        <v>8.3423999999999996</v>
      </c>
      <c r="BC8" s="1129">
        <v>0.83820000000000006</v>
      </c>
      <c r="BD8" s="1127">
        <f>SQRT(BE8^2+BF8^2)*1000/(1.73*BE12)</f>
        <v>42.487344079802703</v>
      </c>
      <c r="BE8" s="1128">
        <v>8.5602</v>
      </c>
      <c r="BF8" s="1129">
        <v>0.82499999999999996</v>
      </c>
      <c r="BG8" s="1127">
        <f>SQRT(BH8^2+BI8^2)*1000/(1.73*BH12)</f>
        <v>42.646526636535256</v>
      </c>
      <c r="BH8" s="1128">
        <v>8.5932000000000013</v>
      </c>
      <c r="BI8" s="1129">
        <v>0.81840000000000013</v>
      </c>
      <c r="BJ8" s="1127">
        <f>SQRT(BK8^2+BL8^2)*1000/(1.73*BK12)</f>
        <v>43.580487823234265</v>
      </c>
      <c r="BK8" s="1128">
        <v>8.7780000000000005</v>
      </c>
      <c r="BL8" s="1129">
        <v>0.87120000000000009</v>
      </c>
      <c r="BM8" s="1127">
        <f>SQRT(BN8^2+BO8^2)*1000/(1.73*BN12)</f>
        <v>43.986135334247102</v>
      </c>
      <c r="BN8" s="1128">
        <v>8.8572000000000006</v>
      </c>
      <c r="BO8" s="1129">
        <v>0.9042</v>
      </c>
      <c r="BP8" s="1127">
        <f>SQRT(BQ8^2+BR8^2)*1000/(1.73*BQ12)</f>
        <v>43.178638322157788</v>
      </c>
      <c r="BQ8" s="1128">
        <v>8.6922000000000015</v>
      </c>
      <c r="BR8" s="1129">
        <v>0.91079999999999994</v>
      </c>
      <c r="BS8" s="1127">
        <f>SQRT(BT8^2+BU8^2)*1000/(1.73*BT12)</f>
        <v>41.572600724538866</v>
      </c>
      <c r="BT8" s="1128">
        <v>8.3687999999999985</v>
      </c>
      <c r="BU8" s="1129">
        <v>0.87779999999999991</v>
      </c>
      <c r="BV8" s="1127">
        <f>SQRT(BW8^2+BX8^2)*1000/(1.73*BW12)</f>
        <v>38.827275382779497</v>
      </c>
      <c r="BW8" s="1128">
        <v>7.8209999999999997</v>
      </c>
      <c r="BX8" s="1129">
        <v>0.7722</v>
      </c>
      <c r="BY8" s="1127">
        <f>SQRT(BZ8^2+CA8^2)*1000/(1.73*BZ12)</f>
        <v>35.553521659750501</v>
      </c>
      <c r="BZ8" s="1128">
        <v>7.1609999999999996</v>
      </c>
      <c r="CA8" s="1129">
        <v>0.71279999999999999</v>
      </c>
      <c r="CB8" s="1383">
        <f>SUM(I8,L8,O8,R8,U8,X8,AA8,AD8,AG8,AJ8,AM8,AP8,AS8,AV8,AY8,BB8,BE8,BH8,BK8,BN8,BQ8,BT8,BW8,BZ8)</f>
        <v>182.82000000000002</v>
      </c>
      <c r="CC8" s="1383">
        <f>SUM(J8,M8,P8,S8,V8,Y8,AB8,AE8,AH8,AK8,AN8,AQ8,AT8,AW8,AZ8,BC8,BF8,BI8,BL8,BO8,BR8,BU8,BX8,CA8)</f>
        <v>18.097200000000004</v>
      </c>
    </row>
    <row r="9" spans="1:256" x14ac:dyDescent="0.2">
      <c r="A9" s="1130"/>
      <c r="B9" s="1131"/>
      <c r="C9" s="1302"/>
      <c r="D9" s="1132" t="s">
        <v>13</v>
      </c>
      <c r="E9" s="1079"/>
      <c r="F9" s="1133" t="s">
        <v>36</v>
      </c>
      <c r="G9" s="1134"/>
      <c r="H9" s="1135"/>
      <c r="I9" s="1136"/>
      <c r="J9" s="1438"/>
      <c r="K9" s="1135"/>
      <c r="L9" s="1136"/>
      <c r="M9" s="1439"/>
      <c r="N9" s="1135"/>
      <c r="O9" s="1136"/>
      <c r="P9" s="1439"/>
      <c r="Q9" s="1135"/>
      <c r="R9" s="1136"/>
      <c r="S9" s="1439"/>
      <c r="T9" s="1135"/>
      <c r="U9" s="1136"/>
      <c r="V9" s="1439"/>
      <c r="W9" s="1135"/>
      <c r="X9" s="1136"/>
      <c r="Y9" s="1439"/>
      <c r="Z9" s="1135"/>
      <c r="AA9" s="1136"/>
      <c r="AB9" s="1439"/>
      <c r="AC9" s="1135"/>
      <c r="AD9" s="1136"/>
      <c r="AE9" s="1439"/>
      <c r="AF9" s="1135"/>
      <c r="AG9" s="1136"/>
      <c r="AH9" s="1439"/>
      <c r="AI9" s="1135"/>
      <c r="AJ9" s="1136"/>
      <c r="AK9" s="1439"/>
      <c r="AL9" s="1135"/>
      <c r="AM9" s="1136"/>
      <c r="AN9" s="1439"/>
      <c r="AO9" s="1135"/>
      <c r="AP9" s="1136"/>
      <c r="AQ9" s="1439"/>
      <c r="AR9" s="1135"/>
      <c r="AS9" s="1136"/>
      <c r="AT9" s="1439"/>
      <c r="AU9" s="1135"/>
      <c r="AV9" s="1136"/>
      <c r="AW9" s="1439"/>
      <c r="AX9" s="1135"/>
      <c r="AY9" s="1136"/>
      <c r="AZ9" s="1439"/>
      <c r="BA9" s="1135"/>
      <c r="BB9" s="1136"/>
      <c r="BC9" s="1439"/>
      <c r="BD9" s="1135"/>
      <c r="BE9" s="1136"/>
      <c r="BF9" s="1439"/>
      <c r="BG9" s="1135"/>
      <c r="BH9" s="1136"/>
      <c r="BI9" s="1439"/>
      <c r="BJ9" s="1135"/>
      <c r="BK9" s="1136"/>
      <c r="BL9" s="1439"/>
      <c r="BM9" s="1135"/>
      <c r="BN9" s="1136"/>
      <c r="BO9" s="1439"/>
      <c r="BP9" s="1135"/>
      <c r="BQ9" s="1136"/>
      <c r="BR9" s="1439"/>
      <c r="BS9" s="1135"/>
      <c r="BT9" s="1136"/>
      <c r="BU9" s="1439"/>
      <c r="BV9" s="1135"/>
      <c r="BW9" s="1136"/>
      <c r="BX9" s="1439"/>
      <c r="BY9" s="1135"/>
      <c r="BZ9" s="1136"/>
      <c r="CA9" s="1439"/>
      <c r="CB9" s="1383"/>
      <c r="CC9" s="1383"/>
    </row>
    <row r="10" spans="1:256" ht="13.5" thickBot="1" x14ac:dyDescent="0.25">
      <c r="A10" s="1130"/>
      <c r="B10" s="1440"/>
      <c r="C10" s="1302"/>
      <c r="D10" s="1132"/>
      <c r="E10" s="1079"/>
      <c r="F10" s="1441" t="s">
        <v>34</v>
      </c>
      <c r="G10" s="1134"/>
      <c r="H10" s="1135">
        <f>SQRT(I10^2+J10^2)*1000/(1.73*I14)</f>
        <v>355.68058306311076</v>
      </c>
      <c r="I10" s="1136">
        <v>6.399</v>
      </c>
      <c r="J10" s="1129">
        <v>-7.1999999999999995E-2</v>
      </c>
      <c r="K10" s="1135">
        <f>SQRT(L10^2+M10^2)*1000/(1.73*L14)</f>
        <v>336.00649004629395</v>
      </c>
      <c r="L10" s="1136">
        <v>6.0449999999999999</v>
      </c>
      <c r="M10" s="1129">
        <v>-7.1999999999999995E-2</v>
      </c>
      <c r="N10" s="1135">
        <f>SQRT(O10^2+P10^2)*1000/(1.73*O14)</f>
        <v>326.83441712997842</v>
      </c>
      <c r="O10" s="1136">
        <v>5.88</v>
      </c>
      <c r="P10" s="1129">
        <v>-6.9000000000000006E-2</v>
      </c>
      <c r="Q10" s="1135">
        <f>SQRT(R10^2+S10^2)*1000/(1.73*R14)</f>
        <v>318.83783404922502</v>
      </c>
      <c r="R10" s="1136">
        <v>5.7359999999999998</v>
      </c>
      <c r="S10" s="1129">
        <v>-7.8E-2</v>
      </c>
      <c r="T10" s="1135">
        <f>SQRT(U10^2+V10^2)*1000/(1.73*U14)</f>
        <v>319.33365702645312</v>
      </c>
      <c r="U10" s="1136">
        <v>5.7450000000000001</v>
      </c>
      <c r="V10" s="1129">
        <v>-7.1999999999999995E-2</v>
      </c>
      <c r="W10" s="1135">
        <f>SQRT(X10^2+Y10^2)*1000/(1.73*X14)</f>
        <v>333.33686834914755</v>
      </c>
      <c r="X10" s="1136">
        <v>5.9969999999999999</v>
      </c>
      <c r="Y10" s="1129">
        <v>-6.9000000000000006E-2</v>
      </c>
      <c r="Z10" s="1135">
        <f>SQRT(AA10^2+AB10^2)*1000/(1.73*AA14)</f>
        <v>377.35559044818547</v>
      </c>
      <c r="AA10" s="1136">
        <v>6.7889999999999997</v>
      </c>
      <c r="AB10" s="1129">
        <v>-7.1999999999999995E-2</v>
      </c>
      <c r="AC10" s="1135">
        <f>SQRT(AD10^2+AE10^2)*1000/(1.73*AD14)</f>
        <v>427.55260688315735</v>
      </c>
      <c r="AD10" s="1136">
        <v>7.6920000000000002</v>
      </c>
      <c r="AE10" s="1129">
        <v>-0.09</v>
      </c>
      <c r="AF10" s="1135">
        <f>SQRT(AG10^2+AH10^2)*1000/(1.73*AG14)</f>
        <v>443.7253952841574</v>
      </c>
      <c r="AG10" s="1136">
        <v>7.9829999999999997</v>
      </c>
      <c r="AH10" s="1129">
        <v>-0.09</v>
      </c>
      <c r="AI10" s="1135">
        <f>SQRT(AJ10^2+AK10^2)*1000/(1.73*AJ14)</f>
        <v>438.70765044890163</v>
      </c>
      <c r="AJ10" s="1136">
        <v>7.8929999999999998</v>
      </c>
      <c r="AK10" s="1129">
        <v>-0.06</v>
      </c>
      <c r="AL10" s="1135">
        <f>SQRT(AM10^2+AN10^2)*1000/(1.73*AM14)</f>
        <v>440.55045525008262</v>
      </c>
      <c r="AM10" s="1136">
        <v>7.9260000000000002</v>
      </c>
      <c r="AN10" s="1129">
        <v>-7.8E-2</v>
      </c>
      <c r="AO10" s="1135">
        <f>SQRT(AP10^2+AQ10^2)*1000/(1.73*AP14)</f>
        <v>442.86399711757747</v>
      </c>
      <c r="AP10" s="1136">
        <v>7.968</v>
      </c>
      <c r="AQ10" s="1129">
        <v>1.2E-2</v>
      </c>
      <c r="AR10" s="1135">
        <f>SQRT(AS10^2+AT10^2)*1000/(1.73*AS14)</f>
        <v>448.37961307695213</v>
      </c>
      <c r="AS10" s="1136">
        <v>8.0670000000000002</v>
      </c>
      <c r="AT10" s="1129">
        <v>-6.3E-2</v>
      </c>
      <c r="AU10" s="1135">
        <f>SQRT(AV10^2+AW10^2)*1000/(1.73*AV14)</f>
        <v>444.38071048514462</v>
      </c>
      <c r="AV10" s="1136">
        <v>7.9950000000000001</v>
      </c>
      <c r="AW10" s="1129">
        <v>-6.9000000000000006E-2</v>
      </c>
      <c r="AX10" s="1135">
        <f>SQRT(AY10^2+AZ10^2)*1000/(1.73*AY14)</f>
        <v>438.54649345660806</v>
      </c>
      <c r="AY10" s="1136">
        <v>7.89</v>
      </c>
      <c r="AZ10" s="1129">
        <v>-7.1999999999999995E-2</v>
      </c>
      <c r="BA10" s="1135">
        <f>SQRT(BB10^2+BC10^2)*1000/(1.73*BB14)</f>
        <v>456.73222933043388</v>
      </c>
      <c r="BB10" s="1136">
        <v>8.2170000000000005</v>
      </c>
      <c r="BC10" s="1129">
        <v>-9.2999999999999999E-2</v>
      </c>
      <c r="BD10" s="1135">
        <f>SQRT(BE10^2+BF10^2)*1000/(1.73*BE14)</f>
        <v>468.57388265251848</v>
      </c>
      <c r="BE10" s="1136">
        <v>8.43</v>
      </c>
      <c r="BF10" s="1129">
        <v>-9.9000000000000005E-2</v>
      </c>
      <c r="BG10" s="1135">
        <f>SQRT(BH10^2+BI10^2)*1000/(1.73*BH14)</f>
        <v>470.57271439143102</v>
      </c>
      <c r="BH10" s="1136">
        <v>8.4659999999999993</v>
      </c>
      <c r="BI10" s="1129">
        <v>-9.6000000000000002E-2</v>
      </c>
      <c r="BJ10" s="1135">
        <f>SQRT(BK10^2+BL10^2)*1000/(1.73*BK14)</f>
        <v>481.06819815271558</v>
      </c>
      <c r="BK10" s="1136">
        <v>8.6549999999999994</v>
      </c>
      <c r="BL10" s="1129">
        <v>-8.1000000000000003E-2</v>
      </c>
      <c r="BM10" s="1135">
        <f>SQRT(BN10^2+BO10^2)*1000/(1.73*BN14)</f>
        <v>485.23501815553294</v>
      </c>
      <c r="BN10" s="1136">
        <v>8.73</v>
      </c>
      <c r="BO10" s="1129">
        <v>-7.8E-2</v>
      </c>
      <c r="BP10" s="1135">
        <f>SQRT(BQ10^2+BR10^2)*1000/(1.73*BQ14)</f>
        <v>476.22577800744017</v>
      </c>
      <c r="BQ10" s="1136">
        <v>8.5679999999999996</v>
      </c>
      <c r="BR10" s="1129">
        <v>-6.6000000000000003E-2</v>
      </c>
      <c r="BS10" s="1135">
        <f>SQRT(BT10^2+BU10^2)*1000/(1.73*BT14)</f>
        <v>458.38376108531105</v>
      </c>
      <c r="BT10" s="1136">
        <v>8.2469999999999999</v>
      </c>
      <c r="BU10" s="1129">
        <v>-6.3E-2</v>
      </c>
      <c r="BV10" s="1135">
        <f>SQRT(BW10^2+BX10^2)*1000/(1.73*BW14)</f>
        <v>428.03655693260686</v>
      </c>
      <c r="BW10" s="1136">
        <v>7.7009999999999996</v>
      </c>
      <c r="BX10" s="1129">
        <v>-0.06</v>
      </c>
      <c r="BY10" s="1135">
        <f>SQRT(BZ10^2+CA10^2)*1000/(1.73*BZ14)</f>
        <v>392.1857842167388</v>
      </c>
      <c r="BZ10" s="1136">
        <v>7.056</v>
      </c>
      <c r="CA10" s="1129">
        <v>-5.3999999999999999E-2</v>
      </c>
      <c r="CB10" s="1383">
        <f>SUM(I10,L10,O10,R10,U10,X10,AA10,AD10,AG10,AJ10,AM10,AP10,AS10,AV10,AY10,BB10,BE10,BH10,BK10,BN10,BQ10,BT10,BW10,BZ10)</f>
        <v>180.07500000000005</v>
      </c>
      <c r="CC10" s="1383">
        <f>SUM(J10,M10,P10,S10,V10,Y10,AB10,AE10,AH10,AK10,AN10,AQ10,AT10,AW10,AZ10,BC10,BF10,BI10,BL10,BO10,BR10,BU10,BX10,CA10)</f>
        <v>-1.7040000000000002</v>
      </c>
    </row>
    <row r="11" spans="1:256" ht="13.5" thickBot="1" x14ac:dyDescent="0.25">
      <c r="A11" s="1137"/>
      <c r="B11" s="1138" t="s">
        <v>0</v>
      </c>
      <c r="C11" s="1396">
        <v>25</v>
      </c>
      <c r="D11" s="1140" t="s">
        <v>39</v>
      </c>
      <c r="E11" s="1141"/>
      <c r="F11" s="1141"/>
      <c r="G11" s="1142"/>
      <c r="H11" s="1442"/>
      <c r="I11" s="1144" t="s">
        <v>308</v>
      </c>
      <c r="J11" s="1145"/>
      <c r="K11" s="1442"/>
      <c r="L11" s="1144" t="s">
        <v>308</v>
      </c>
      <c r="M11" s="1145"/>
      <c r="N11" s="1442"/>
      <c r="O11" s="1144" t="s">
        <v>308</v>
      </c>
      <c r="P11" s="1145"/>
      <c r="Q11" s="1442"/>
      <c r="R11" s="1144" t="s">
        <v>308</v>
      </c>
      <c r="S11" s="1145"/>
      <c r="T11" s="1442"/>
      <c r="U11" s="1144" t="s">
        <v>308</v>
      </c>
      <c r="V11" s="1145"/>
      <c r="W11" s="1442"/>
      <c r="X11" s="1144" t="s">
        <v>308</v>
      </c>
      <c r="Y11" s="1145"/>
      <c r="Z11" s="1442"/>
      <c r="AA11" s="1144" t="s">
        <v>308</v>
      </c>
      <c r="AB11" s="1145"/>
      <c r="AC11" s="1442"/>
      <c r="AD11" s="1144" t="s">
        <v>308</v>
      </c>
      <c r="AE11" s="1145"/>
      <c r="AF11" s="1442"/>
      <c r="AG11" s="1144" t="s">
        <v>308</v>
      </c>
      <c r="AH11" s="1145"/>
      <c r="AI11" s="1442"/>
      <c r="AJ11" s="1144" t="s">
        <v>308</v>
      </c>
      <c r="AK11" s="1145"/>
      <c r="AL11" s="1442"/>
      <c r="AM11" s="1144" t="s">
        <v>308</v>
      </c>
      <c r="AN11" s="1145"/>
      <c r="AO11" s="1442"/>
      <c r="AP11" s="1144" t="s">
        <v>308</v>
      </c>
      <c r="AQ11" s="1145"/>
      <c r="AR11" s="1442"/>
      <c r="AS11" s="1144" t="s">
        <v>308</v>
      </c>
      <c r="AT11" s="1145"/>
      <c r="AU11" s="1442"/>
      <c r="AV11" s="1144" t="s">
        <v>308</v>
      </c>
      <c r="AW11" s="1145"/>
      <c r="AX11" s="1442"/>
      <c r="AY11" s="1144" t="s">
        <v>308</v>
      </c>
      <c r="AZ11" s="1145"/>
      <c r="BA11" s="1442"/>
      <c r="BB11" s="1144" t="s">
        <v>308</v>
      </c>
      <c r="BC11" s="1145"/>
      <c r="BD11" s="1442"/>
      <c r="BE11" s="1144" t="s">
        <v>308</v>
      </c>
      <c r="BF11" s="1145"/>
      <c r="BG11" s="1442"/>
      <c r="BH11" s="1144" t="s">
        <v>308</v>
      </c>
      <c r="BI11" s="1145"/>
      <c r="BJ11" s="1442"/>
      <c r="BK11" s="1144" t="s">
        <v>308</v>
      </c>
      <c r="BL11" s="1145"/>
      <c r="BM11" s="1442"/>
      <c r="BN11" s="1144" t="s">
        <v>308</v>
      </c>
      <c r="BO11" s="1145"/>
      <c r="BP11" s="1442"/>
      <c r="BQ11" s="1144" t="s">
        <v>308</v>
      </c>
      <c r="BR11" s="1145"/>
      <c r="BS11" s="1442"/>
      <c r="BT11" s="1144" t="s">
        <v>308</v>
      </c>
      <c r="BU11" s="1145"/>
      <c r="BV11" s="1442"/>
      <c r="BW11" s="1144" t="s">
        <v>308</v>
      </c>
      <c r="BX11" s="1145"/>
      <c r="BY11" s="1442"/>
      <c r="BZ11" s="1144" t="s">
        <v>308</v>
      </c>
      <c r="CA11" s="1145"/>
      <c r="CB11" s="1391"/>
      <c r="CC11" s="1391"/>
      <c r="CD11" s="1146"/>
      <c r="CE11" s="1146"/>
      <c r="CF11" s="1146"/>
      <c r="CG11" s="1146"/>
      <c r="CH11" s="1146"/>
      <c r="CI11" s="1146"/>
      <c r="CJ11" s="1146"/>
      <c r="CK11" s="1146"/>
      <c r="CL11" s="1146"/>
      <c r="CM11" s="1146"/>
      <c r="CN11" s="1146"/>
      <c r="CO11" s="1146"/>
      <c r="CP11" s="1146"/>
      <c r="CQ11" s="1146"/>
      <c r="CR11" s="1146"/>
      <c r="CS11" s="1146"/>
      <c r="CT11" s="1146"/>
      <c r="CU11" s="1146"/>
      <c r="CV11" s="1146"/>
      <c r="CW11" s="1146"/>
      <c r="CX11" s="1146"/>
      <c r="CY11" s="1146"/>
      <c r="CZ11" s="1146"/>
      <c r="DA11" s="1146"/>
      <c r="DB11" s="1146"/>
      <c r="DC11" s="1146"/>
      <c r="DD11" s="1146"/>
      <c r="DE11" s="1146"/>
      <c r="DF11" s="1146"/>
      <c r="DG11" s="1146"/>
      <c r="DH11" s="1146"/>
      <c r="DI11" s="1146"/>
      <c r="DJ11" s="1146"/>
      <c r="DK11" s="1146"/>
      <c r="DL11" s="1146"/>
      <c r="DM11" s="1146"/>
      <c r="DN11" s="1146"/>
      <c r="DO11" s="1146"/>
      <c r="DP11" s="1146"/>
      <c r="DQ11" s="1146"/>
      <c r="DR11" s="1146"/>
      <c r="DS11" s="1146"/>
      <c r="DT11" s="1146"/>
      <c r="DU11" s="1146"/>
      <c r="DV11" s="1146"/>
      <c r="DW11" s="1146"/>
      <c r="DX11" s="1146"/>
      <c r="DY11" s="1146"/>
      <c r="DZ11" s="1146"/>
      <c r="EA11" s="1146"/>
      <c r="EB11" s="1146"/>
      <c r="EC11" s="1146"/>
      <c r="ED11" s="1146"/>
      <c r="EE11" s="1146"/>
      <c r="EF11" s="1146"/>
      <c r="EG11" s="1146"/>
      <c r="EH11" s="1146"/>
      <c r="EI11" s="1146"/>
      <c r="EJ11" s="1146"/>
      <c r="EK11" s="1146"/>
      <c r="EL11" s="1146"/>
      <c r="EM11" s="1146"/>
      <c r="EN11" s="1146"/>
      <c r="EO11" s="1146"/>
      <c r="EP11" s="1146"/>
      <c r="EQ11" s="1146"/>
      <c r="ER11" s="1146"/>
      <c r="ES11" s="1146"/>
      <c r="ET11" s="1146"/>
      <c r="EU11" s="1146"/>
      <c r="EV11" s="1146"/>
      <c r="EW11" s="1146"/>
      <c r="EX11" s="1146"/>
      <c r="EY11" s="1146"/>
      <c r="EZ11" s="1146"/>
      <c r="FA11" s="1146"/>
      <c r="FB11" s="1146"/>
      <c r="FC11" s="1146"/>
      <c r="FD11" s="1146"/>
      <c r="FE11" s="1146"/>
      <c r="FF11" s="1146"/>
      <c r="FG11" s="1146"/>
      <c r="FH11" s="1146"/>
      <c r="FI11" s="1146"/>
      <c r="FJ11" s="1146"/>
      <c r="FK11" s="1146"/>
      <c r="FL11" s="1146"/>
      <c r="FM11" s="1146"/>
      <c r="FN11" s="1146"/>
      <c r="FO11" s="1146"/>
      <c r="FP11" s="1146"/>
      <c r="FQ11" s="1146"/>
      <c r="FR11" s="1146"/>
      <c r="FS11" s="1146"/>
      <c r="FT11" s="1146"/>
      <c r="FU11" s="1146"/>
      <c r="FV11" s="1146"/>
      <c r="FW11" s="1146"/>
      <c r="FX11" s="1146"/>
      <c r="FY11" s="1146"/>
      <c r="FZ11" s="1146"/>
      <c r="GA11" s="1146"/>
      <c r="GB11" s="1146"/>
      <c r="GC11" s="1146"/>
      <c r="GD11" s="1146"/>
      <c r="GE11" s="1146"/>
      <c r="GF11" s="1146"/>
      <c r="GG11" s="1146"/>
      <c r="GH11" s="1146"/>
      <c r="GI11" s="1146"/>
      <c r="GJ11" s="1146"/>
      <c r="GK11" s="1146"/>
      <c r="GL11" s="1146"/>
      <c r="GM11" s="1146"/>
      <c r="GN11" s="1146"/>
      <c r="GO11" s="1146"/>
      <c r="GP11" s="1146"/>
      <c r="GQ11" s="1146"/>
      <c r="GR11" s="1146"/>
      <c r="GS11" s="1146"/>
      <c r="GT11" s="1146"/>
      <c r="GU11" s="1146"/>
      <c r="GV11" s="1146"/>
      <c r="GW11" s="1146"/>
      <c r="GX11" s="1146"/>
      <c r="GY11" s="1146"/>
      <c r="GZ11" s="1146"/>
      <c r="HA11" s="1146"/>
      <c r="HB11" s="1146"/>
      <c r="HC11" s="1146"/>
      <c r="HD11" s="1146"/>
      <c r="HE11" s="1146"/>
      <c r="HF11" s="1146"/>
      <c r="HG11" s="1146"/>
      <c r="HH11" s="1146"/>
      <c r="HI11" s="1146"/>
      <c r="HJ11" s="1146"/>
      <c r="HK11" s="1146"/>
      <c r="HL11" s="1146"/>
      <c r="HM11" s="1146"/>
      <c r="HN11" s="1146"/>
      <c r="HO11" s="1146"/>
      <c r="HP11" s="1146"/>
      <c r="HQ11" s="1146"/>
      <c r="HR11" s="1146"/>
      <c r="HS11" s="1146"/>
      <c r="HT11" s="1146"/>
      <c r="HU11" s="1146"/>
      <c r="HV11" s="1146"/>
      <c r="HW11" s="1146"/>
      <c r="HX11" s="1146"/>
      <c r="HY11" s="1146"/>
      <c r="HZ11" s="1146"/>
      <c r="IA11" s="1146"/>
      <c r="IB11" s="1146"/>
      <c r="IC11" s="1146"/>
      <c r="ID11" s="1146"/>
      <c r="IE11" s="1146"/>
      <c r="IF11" s="1146"/>
      <c r="IG11" s="1146"/>
      <c r="IH11" s="1146"/>
      <c r="II11" s="1146"/>
      <c r="IJ11" s="1146"/>
      <c r="IK11" s="1146"/>
      <c r="IL11" s="1146"/>
      <c r="IM11" s="1146"/>
      <c r="IN11" s="1146"/>
      <c r="IO11" s="1146"/>
      <c r="IP11" s="1146"/>
      <c r="IQ11" s="1146"/>
      <c r="IR11" s="1146"/>
      <c r="IS11" s="1146"/>
      <c r="IT11" s="1146"/>
      <c r="IU11" s="1146"/>
      <c r="IV11" s="1146"/>
    </row>
    <row r="12" spans="1:256" x14ac:dyDescent="0.2">
      <c r="A12" s="1384"/>
      <c r="B12" s="1385"/>
      <c r="C12" s="1443"/>
      <c r="D12" s="1384" t="s">
        <v>14</v>
      </c>
      <c r="E12" s="1385"/>
      <c r="F12" s="1387" t="s">
        <v>33</v>
      </c>
      <c r="G12" s="1388"/>
      <c r="H12" s="1389"/>
      <c r="I12" s="1444">
        <v>117</v>
      </c>
      <c r="J12" s="1445"/>
      <c r="K12" s="1389"/>
      <c r="L12" s="1444">
        <v>117</v>
      </c>
      <c r="M12" s="1445"/>
      <c r="N12" s="1389"/>
      <c r="O12" s="1444">
        <v>117</v>
      </c>
      <c r="P12" s="1445"/>
      <c r="Q12" s="1389"/>
      <c r="R12" s="1444">
        <v>117</v>
      </c>
      <c r="S12" s="1445"/>
      <c r="T12" s="1389"/>
      <c r="U12" s="1444">
        <v>117</v>
      </c>
      <c r="V12" s="1445"/>
      <c r="W12" s="1389"/>
      <c r="X12" s="1444">
        <v>117</v>
      </c>
      <c r="Y12" s="1445"/>
      <c r="Z12" s="1389"/>
      <c r="AA12" s="1444">
        <v>117</v>
      </c>
      <c r="AB12" s="1445"/>
      <c r="AC12" s="1389"/>
      <c r="AD12" s="1444">
        <v>117</v>
      </c>
      <c r="AE12" s="1445"/>
      <c r="AF12" s="1389"/>
      <c r="AG12" s="1444">
        <v>117</v>
      </c>
      <c r="AH12" s="1445"/>
      <c r="AI12" s="1389"/>
      <c r="AJ12" s="1444">
        <v>117</v>
      </c>
      <c r="AK12" s="1445"/>
      <c r="AL12" s="1389"/>
      <c r="AM12" s="1444">
        <v>117</v>
      </c>
      <c r="AN12" s="1445"/>
      <c r="AO12" s="1389"/>
      <c r="AP12" s="1444">
        <v>117</v>
      </c>
      <c r="AQ12" s="1445"/>
      <c r="AR12" s="1389"/>
      <c r="AS12" s="1444">
        <v>117</v>
      </c>
      <c r="AT12" s="1445"/>
      <c r="AU12" s="1389"/>
      <c r="AV12" s="1444">
        <v>117</v>
      </c>
      <c r="AW12" s="1445"/>
      <c r="AX12" s="1389"/>
      <c r="AY12" s="1444">
        <v>117</v>
      </c>
      <c r="AZ12" s="1445"/>
      <c r="BA12" s="1389"/>
      <c r="BB12" s="1444">
        <v>117</v>
      </c>
      <c r="BC12" s="1445"/>
      <c r="BD12" s="1389"/>
      <c r="BE12" s="1444">
        <v>117</v>
      </c>
      <c r="BF12" s="1445"/>
      <c r="BG12" s="1389"/>
      <c r="BH12" s="1444">
        <v>117</v>
      </c>
      <c r="BI12" s="1445"/>
      <c r="BJ12" s="1389"/>
      <c r="BK12" s="1444">
        <v>117</v>
      </c>
      <c r="BL12" s="1445"/>
      <c r="BM12" s="1389"/>
      <c r="BN12" s="1444">
        <v>117</v>
      </c>
      <c r="BO12" s="1445"/>
      <c r="BP12" s="1389"/>
      <c r="BQ12" s="1444">
        <v>117</v>
      </c>
      <c r="BR12" s="1445"/>
      <c r="BS12" s="1389"/>
      <c r="BT12" s="1444">
        <v>117</v>
      </c>
      <c r="BU12" s="1445"/>
      <c r="BV12" s="1389"/>
      <c r="BW12" s="1444">
        <v>117</v>
      </c>
      <c r="BX12" s="1445"/>
      <c r="BY12" s="1389"/>
      <c r="BZ12" s="1444">
        <v>117</v>
      </c>
      <c r="CA12" s="1445"/>
      <c r="CD12" s="1391"/>
      <c r="CE12" s="1391"/>
      <c r="CF12" s="1391"/>
      <c r="CG12" s="1391"/>
      <c r="CH12" s="1391"/>
      <c r="CI12" s="1391"/>
      <c r="CJ12" s="1391"/>
      <c r="CK12" s="1391"/>
      <c r="CL12" s="1391"/>
      <c r="CM12" s="1391"/>
      <c r="CN12" s="1391"/>
      <c r="CO12" s="1391"/>
      <c r="CP12" s="1391"/>
      <c r="CQ12" s="1391"/>
      <c r="CR12" s="1391"/>
      <c r="CS12" s="1391"/>
      <c r="CT12" s="1391"/>
      <c r="CU12" s="1391"/>
      <c r="CV12" s="1391"/>
      <c r="CW12" s="1391"/>
      <c r="CX12" s="1391"/>
      <c r="CY12" s="1391"/>
      <c r="CZ12" s="1391"/>
      <c r="DA12" s="1391"/>
      <c r="DB12" s="1391"/>
      <c r="DC12" s="1391"/>
      <c r="DD12" s="1391"/>
      <c r="DE12" s="1391"/>
      <c r="DF12" s="1391"/>
      <c r="DG12" s="1391"/>
      <c r="DH12" s="1391"/>
      <c r="DI12" s="1391"/>
      <c r="DJ12" s="1391"/>
      <c r="DK12" s="1391"/>
      <c r="DL12" s="1391"/>
      <c r="DM12" s="1391"/>
      <c r="DN12" s="1391"/>
      <c r="DO12" s="1391"/>
      <c r="DP12" s="1391"/>
      <c r="DQ12" s="1391"/>
      <c r="DR12" s="1391"/>
      <c r="DS12" s="1391"/>
      <c r="DT12" s="1391"/>
      <c r="DU12" s="1391"/>
      <c r="DV12" s="1391"/>
      <c r="DW12" s="1391"/>
      <c r="DX12" s="1391"/>
      <c r="DY12" s="1391"/>
      <c r="DZ12" s="1391"/>
      <c r="EA12" s="1391"/>
      <c r="EB12" s="1391"/>
      <c r="EC12" s="1391"/>
      <c r="ED12" s="1391"/>
      <c r="EE12" s="1391"/>
      <c r="EF12" s="1391"/>
      <c r="EG12" s="1391"/>
      <c r="EH12" s="1391"/>
      <c r="EI12" s="1391"/>
      <c r="EJ12" s="1391"/>
      <c r="EK12" s="1391"/>
      <c r="EL12" s="1391"/>
      <c r="EM12" s="1391"/>
      <c r="EN12" s="1391"/>
      <c r="EO12" s="1391"/>
      <c r="EP12" s="1391"/>
      <c r="EQ12" s="1391"/>
      <c r="ER12" s="1391"/>
      <c r="ES12" s="1391"/>
      <c r="ET12" s="1391"/>
      <c r="EU12" s="1391"/>
      <c r="EV12" s="1391"/>
      <c r="EW12" s="1391"/>
      <c r="EX12" s="1391"/>
      <c r="EY12" s="1391"/>
      <c r="EZ12" s="1391"/>
      <c r="FA12" s="1391"/>
      <c r="FB12" s="1391"/>
      <c r="FC12" s="1391"/>
      <c r="FD12" s="1391"/>
      <c r="FE12" s="1391"/>
      <c r="FF12" s="1391"/>
      <c r="FG12" s="1391"/>
      <c r="FH12" s="1391"/>
      <c r="FI12" s="1391"/>
      <c r="FJ12" s="1391"/>
      <c r="FK12" s="1391"/>
      <c r="FL12" s="1391"/>
      <c r="FM12" s="1391"/>
      <c r="FN12" s="1391"/>
      <c r="FO12" s="1391"/>
      <c r="FP12" s="1391"/>
      <c r="FQ12" s="1391"/>
      <c r="FR12" s="1391"/>
      <c r="FS12" s="1391"/>
      <c r="FT12" s="1391"/>
      <c r="FU12" s="1391"/>
      <c r="FV12" s="1391"/>
      <c r="FW12" s="1391"/>
      <c r="FX12" s="1391"/>
      <c r="FY12" s="1391"/>
      <c r="FZ12" s="1391"/>
      <c r="GA12" s="1391"/>
      <c r="GB12" s="1391"/>
      <c r="GC12" s="1391"/>
      <c r="GD12" s="1391"/>
      <c r="GE12" s="1391"/>
      <c r="GF12" s="1391"/>
      <c r="GG12" s="1391"/>
      <c r="GH12" s="1391"/>
      <c r="GI12" s="1391"/>
      <c r="GJ12" s="1391"/>
      <c r="GK12" s="1391"/>
      <c r="GL12" s="1391"/>
      <c r="GM12" s="1391"/>
      <c r="GN12" s="1391"/>
      <c r="GO12" s="1391"/>
      <c r="GP12" s="1391"/>
      <c r="GQ12" s="1391"/>
      <c r="GR12" s="1391"/>
      <c r="GS12" s="1391"/>
      <c r="GT12" s="1391"/>
      <c r="GU12" s="1391"/>
      <c r="GV12" s="1391"/>
      <c r="GW12" s="1391"/>
      <c r="GX12" s="1391"/>
      <c r="GY12" s="1391"/>
      <c r="GZ12" s="1391"/>
      <c r="HA12" s="1391"/>
      <c r="HB12" s="1391"/>
      <c r="HC12" s="1391"/>
      <c r="HD12" s="1391"/>
      <c r="HE12" s="1391"/>
      <c r="HF12" s="1391"/>
      <c r="HG12" s="1391"/>
      <c r="HH12" s="1391"/>
      <c r="HI12" s="1391"/>
      <c r="HJ12" s="1391"/>
      <c r="HK12" s="1391"/>
      <c r="HL12" s="1391"/>
      <c r="HM12" s="1391"/>
      <c r="HN12" s="1391"/>
      <c r="HO12" s="1391"/>
      <c r="HP12" s="1391"/>
      <c r="HQ12" s="1391"/>
      <c r="HR12" s="1391"/>
      <c r="HS12" s="1391"/>
      <c r="HT12" s="1391"/>
      <c r="HU12" s="1391"/>
      <c r="HV12" s="1391"/>
      <c r="HW12" s="1391"/>
      <c r="HX12" s="1391"/>
      <c r="HY12" s="1391"/>
      <c r="HZ12" s="1391"/>
      <c r="IA12" s="1391"/>
      <c r="IB12" s="1391"/>
      <c r="IC12" s="1391"/>
      <c r="ID12" s="1391"/>
      <c r="IE12" s="1391"/>
      <c r="IF12" s="1391"/>
      <c r="IG12" s="1391"/>
      <c r="IH12" s="1391"/>
      <c r="II12" s="1391"/>
      <c r="IJ12" s="1391"/>
      <c r="IK12" s="1391"/>
      <c r="IL12" s="1391"/>
      <c r="IM12" s="1391"/>
      <c r="IN12" s="1391"/>
      <c r="IO12" s="1391"/>
      <c r="IP12" s="1391"/>
      <c r="IQ12" s="1391"/>
      <c r="IR12" s="1391"/>
      <c r="IS12" s="1391"/>
      <c r="IT12" s="1391"/>
      <c r="IU12" s="1391"/>
      <c r="IV12" s="1391"/>
    </row>
    <row r="13" spans="1:256" x14ac:dyDescent="0.2">
      <c r="A13" s="1132"/>
      <c r="B13" s="1131"/>
      <c r="C13" s="1396"/>
      <c r="D13" s="1132" t="s">
        <v>14</v>
      </c>
      <c r="E13" s="1131"/>
      <c r="F13" s="1133" t="s">
        <v>36</v>
      </c>
      <c r="G13" s="1392"/>
      <c r="H13" s="1446"/>
      <c r="I13" s="1447"/>
      <c r="J13" s="1448"/>
      <c r="K13" s="1446"/>
      <c r="L13" s="1447"/>
      <c r="M13" s="1449"/>
      <c r="N13" s="1446"/>
      <c r="O13" s="1447"/>
      <c r="P13" s="1449"/>
      <c r="Q13" s="1446"/>
      <c r="R13" s="1447"/>
      <c r="S13" s="1449"/>
      <c r="T13" s="1446"/>
      <c r="U13" s="1447"/>
      <c r="V13" s="1449"/>
      <c r="W13" s="1446"/>
      <c r="X13" s="1447"/>
      <c r="Y13" s="1449"/>
      <c r="Z13" s="1446"/>
      <c r="AA13" s="1447"/>
      <c r="AB13" s="1449"/>
      <c r="AC13" s="1446"/>
      <c r="AD13" s="1447"/>
      <c r="AE13" s="1449"/>
      <c r="AF13" s="1446"/>
      <c r="AG13" s="1447"/>
      <c r="AH13" s="1449"/>
      <c r="AI13" s="1446"/>
      <c r="AJ13" s="1447"/>
      <c r="AK13" s="1449"/>
      <c r="AL13" s="1446"/>
      <c r="AM13" s="1447"/>
      <c r="AN13" s="1449"/>
      <c r="AO13" s="1446"/>
      <c r="AP13" s="1447"/>
      <c r="AQ13" s="1449"/>
      <c r="AR13" s="1446"/>
      <c r="AS13" s="1447"/>
      <c r="AT13" s="1449"/>
      <c r="AU13" s="1446"/>
      <c r="AV13" s="1447"/>
      <c r="AW13" s="1449"/>
      <c r="AX13" s="1446"/>
      <c r="AY13" s="1447"/>
      <c r="AZ13" s="1449"/>
      <c r="BA13" s="1446"/>
      <c r="BB13" s="1447"/>
      <c r="BC13" s="1449"/>
      <c r="BD13" s="1446"/>
      <c r="BE13" s="1447"/>
      <c r="BF13" s="1449"/>
      <c r="BG13" s="1446"/>
      <c r="BH13" s="1447"/>
      <c r="BI13" s="1449"/>
      <c r="BJ13" s="1446"/>
      <c r="BK13" s="1447"/>
      <c r="BL13" s="1449"/>
      <c r="BM13" s="1446"/>
      <c r="BN13" s="1447"/>
      <c r="BO13" s="1449"/>
      <c r="BP13" s="1446"/>
      <c r="BQ13" s="1447"/>
      <c r="BR13" s="1449"/>
      <c r="BS13" s="1446"/>
      <c r="BT13" s="1447"/>
      <c r="BU13" s="1449"/>
      <c r="BV13" s="1446"/>
      <c r="BW13" s="1447"/>
      <c r="BX13" s="1449"/>
      <c r="BY13" s="1446"/>
      <c r="BZ13" s="1447"/>
      <c r="CA13" s="1449"/>
    </row>
    <row r="14" spans="1:256" ht="13.5" thickBot="1" x14ac:dyDescent="0.25">
      <c r="A14" s="1132"/>
      <c r="B14" s="1131"/>
      <c r="C14" s="1302"/>
      <c r="D14" s="1132"/>
      <c r="E14" s="1131"/>
      <c r="F14" s="1441" t="s">
        <v>34</v>
      </c>
      <c r="G14" s="1134"/>
      <c r="H14" s="1450"/>
      <c r="I14" s="1451">
        <v>10.4</v>
      </c>
      <c r="J14" s="1452"/>
      <c r="K14" s="1453"/>
      <c r="L14" s="1451">
        <v>10.4</v>
      </c>
      <c r="M14" s="1454"/>
      <c r="N14" s="1453"/>
      <c r="O14" s="1451">
        <v>10.4</v>
      </c>
      <c r="P14" s="1454"/>
      <c r="Q14" s="1453"/>
      <c r="R14" s="1451">
        <v>10.4</v>
      </c>
      <c r="S14" s="1454"/>
      <c r="T14" s="1453"/>
      <c r="U14" s="1451">
        <v>10.4</v>
      </c>
      <c r="V14" s="1454"/>
      <c r="W14" s="1453"/>
      <c r="X14" s="1451">
        <v>10.4</v>
      </c>
      <c r="Y14" s="1454"/>
      <c r="Z14" s="1453"/>
      <c r="AA14" s="1451">
        <v>10.4</v>
      </c>
      <c r="AB14" s="1454"/>
      <c r="AC14" s="1453"/>
      <c r="AD14" s="1451">
        <v>10.4</v>
      </c>
      <c r="AE14" s="1454"/>
      <c r="AF14" s="1453"/>
      <c r="AG14" s="1451">
        <v>10.4</v>
      </c>
      <c r="AH14" s="1454"/>
      <c r="AI14" s="1453"/>
      <c r="AJ14" s="1451">
        <v>10.4</v>
      </c>
      <c r="AK14" s="1454"/>
      <c r="AL14" s="1453"/>
      <c r="AM14" s="1451">
        <v>10.4</v>
      </c>
      <c r="AN14" s="1454"/>
      <c r="AO14" s="1453"/>
      <c r="AP14" s="1451">
        <v>10.4</v>
      </c>
      <c r="AQ14" s="1454"/>
      <c r="AR14" s="1453"/>
      <c r="AS14" s="1451">
        <v>10.4</v>
      </c>
      <c r="AT14" s="1454"/>
      <c r="AU14" s="1453"/>
      <c r="AV14" s="1451">
        <v>10.4</v>
      </c>
      <c r="AW14" s="1454"/>
      <c r="AX14" s="1453"/>
      <c r="AY14" s="1451">
        <v>10.4</v>
      </c>
      <c r="AZ14" s="1454"/>
      <c r="BA14" s="1453"/>
      <c r="BB14" s="1451">
        <v>10.4</v>
      </c>
      <c r="BC14" s="1454"/>
      <c r="BD14" s="1453"/>
      <c r="BE14" s="1451">
        <v>10.4</v>
      </c>
      <c r="BF14" s="1454"/>
      <c r="BG14" s="1453"/>
      <c r="BH14" s="1451">
        <v>10.4</v>
      </c>
      <c r="BI14" s="1454"/>
      <c r="BJ14" s="1453"/>
      <c r="BK14" s="1451">
        <v>10.4</v>
      </c>
      <c r="BL14" s="1454"/>
      <c r="BM14" s="1453"/>
      <c r="BN14" s="1451">
        <v>10.4</v>
      </c>
      <c r="BO14" s="1454"/>
      <c r="BP14" s="1453"/>
      <c r="BQ14" s="1451">
        <v>10.4</v>
      </c>
      <c r="BR14" s="1454"/>
      <c r="BS14" s="1453"/>
      <c r="BT14" s="1451">
        <v>10.4</v>
      </c>
      <c r="BU14" s="1454"/>
      <c r="BV14" s="1453"/>
      <c r="BW14" s="1451">
        <v>10.4</v>
      </c>
      <c r="BX14" s="1454"/>
      <c r="BY14" s="1453"/>
      <c r="BZ14" s="1451">
        <v>10.4</v>
      </c>
      <c r="CA14" s="1455"/>
      <c r="CB14" s="1383"/>
      <c r="CC14" s="1383"/>
    </row>
    <row r="15" spans="1:256" ht="13.5" thickBot="1" x14ac:dyDescent="0.25">
      <c r="A15" s="1132"/>
      <c r="B15" s="1131"/>
      <c r="C15" s="1393"/>
      <c r="D15" s="1184" t="s">
        <v>83</v>
      </c>
      <c r="E15" s="1185"/>
      <c r="F15" s="1185"/>
      <c r="G15" s="1186"/>
      <c r="H15" s="1456"/>
      <c r="I15" s="1457"/>
      <c r="J15" s="1458"/>
      <c r="K15" s="1456"/>
      <c r="L15" s="1457"/>
      <c r="M15" s="1458"/>
      <c r="N15" s="1456"/>
      <c r="O15" s="1457"/>
      <c r="P15" s="1458"/>
      <c r="Q15" s="1456"/>
      <c r="R15" s="1457"/>
      <c r="S15" s="1458"/>
      <c r="T15" s="1456"/>
      <c r="U15" s="1457"/>
      <c r="V15" s="1458"/>
      <c r="W15" s="1456"/>
      <c r="X15" s="1457"/>
      <c r="Y15" s="1458"/>
      <c r="Z15" s="1456"/>
      <c r="AA15" s="1457"/>
      <c r="AB15" s="1458"/>
      <c r="AC15" s="1456"/>
      <c r="AD15" s="1457"/>
      <c r="AE15" s="1458"/>
      <c r="AF15" s="1456"/>
      <c r="AG15" s="1457"/>
      <c r="AH15" s="1458"/>
      <c r="AI15" s="1456"/>
      <c r="AJ15" s="1457"/>
      <c r="AK15" s="1458"/>
      <c r="AL15" s="1456"/>
      <c r="AM15" s="1457"/>
      <c r="AN15" s="1458"/>
      <c r="AO15" s="1456"/>
      <c r="AP15" s="1457"/>
      <c r="AQ15" s="1458"/>
      <c r="AR15" s="1456"/>
      <c r="AS15" s="1457"/>
      <c r="AT15" s="1458"/>
      <c r="AU15" s="1456"/>
      <c r="AV15" s="1457"/>
      <c r="AW15" s="1458"/>
      <c r="AX15" s="1456"/>
      <c r="AY15" s="1457"/>
      <c r="AZ15" s="1458"/>
      <c r="BA15" s="1456"/>
      <c r="BB15" s="1457"/>
      <c r="BC15" s="1458"/>
      <c r="BD15" s="1456"/>
      <c r="BE15" s="1457"/>
      <c r="BF15" s="1458"/>
      <c r="BG15" s="1456"/>
      <c r="BH15" s="1457"/>
      <c r="BI15" s="1458"/>
      <c r="BJ15" s="1456"/>
      <c r="BK15" s="1457"/>
      <c r="BL15" s="1458"/>
      <c r="BM15" s="1456"/>
      <c r="BN15" s="1457"/>
      <c r="BO15" s="1458"/>
      <c r="BP15" s="1456"/>
      <c r="BQ15" s="1457"/>
      <c r="BR15" s="1458"/>
      <c r="BS15" s="1456"/>
      <c r="BT15" s="1457"/>
      <c r="BU15" s="1458"/>
      <c r="BV15" s="1456"/>
      <c r="BW15" s="1457"/>
      <c r="BX15" s="1458"/>
      <c r="BY15" s="1456"/>
      <c r="BZ15" s="1457"/>
      <c r="CA15" s="1458"/>
      <c r="CB15" s="1383"/>
      <c r="CC15" s="1383"/>
    </row>
    <row r="16" spans="1:256" x14ac:dyDescent="0.2">
      <c r="A16" s="1121"/>
      <c r="B16" s="1394"/>
      <c r="C16" s="1395"/>
      <c r="D16" s="1124"/>
      <c r="E16" s="1125"/>
      <c r="F16" s="1124" t="s">
        <v>33</v>
      </c>
      <c r="G16" s="1126"/>
      <c r="H16" s="1127">
        <f>SQRT(I16^2+J16^2)*1000/(1.73*I20)</f>
        <v>27.975757484196418</v>
      </c>
      <c r="I16" s="1128">
        <v>5.6232000000000006</v>
      </c>
      <c r="J16" s="1129">
        <v>0.66659999999999997</v>
      </c>
      <c r="K16" s="1127">
        <f>SQRT(L16^2+M16^2)*1000/(1.73*L20)</f>
        <v>26.126903453288758</v>
      </c>
      <c r="L16" s="1128">
        <v>5.2469999999999999</v>
      </c>
      <c r="M16" s="1129">
        <v>0.66</v>
      </c>
      <c r="N16" s="1127">
        <f>SQRT(O16^2+P16^2)*1000/(1.73*O20)</f>
        <v>25.038950351334648</v>
      </c>
      <c r="O16" s="1128">
        <v>5.0292000000000003</v>
      </c>
      <c r="P16" s="1129">
        <v>0.627</v>
      </c>
      <c r="Q16" s="1127">
        <f>SQRT(R16^2+S16^2)*1000/(1.73*R20)</f>
        <v>24.581935915207989</v>
      </c>
      <c r="R16" s="1128">
        <v>4.936799999999999</v>
      </c>
      <c r="S16" s="1129">
        <v>0.62039999999999995</v>
      </c>
      <c r="T16" s="1127">
        <f>SQRT(U16^2+V16^2)*1000/(1.73*U20)</f>
        <v>24.581935915207993</v>
      </c>
      <c r="U16" s="1128">
        <v>4.9367999999999999</v>
      </c>
      <c r="V16" s="1129">
        <v>0.62039999999999995</v>
      </c>
      <c r="W16" s="1127">
        <f>SQRT(X16^2+Y16^2)*1000/(1.73*X20)</f>
        <v>25.354666005036858</v>
      </c>
      <c r="X16" s="1128">
        <v>5.0952000000000002</v>
      </c>
      <c r="Y16" s="1129">
        <v>0.6137999999999999</v>
      </c>
      <c r="Z16" s="1127">
        <f>SQRT(AA16^2+AB16^2)*1000/(1.73*AA20)</f>
        <v>29.163295986865549</v>
      </c>
      <c r="AA16" s="1128">
        <v>5.8673999999999999</v>
      </c>
      <c r="AB16" s="1129">
        <v>0.64679999999999993</v>
      </c>
      <c r="AC16" s="1127">
        <f>SQRT(AD16^2+AE16^2)*1000/(1.73*AD20)</f>
        <v>32.702971508311244</v>
      </c>
      <c r="AD16" s="1128">
        <v>6.5801999999999996</v>
      </c>
      <c r="AE16" s="1129">
        <v>0.71939999999999993</v>
      </c>
      <c r="AF16" s="1127">
        <f>SQRT(AG16^2+AH16^2)*1000/(1.73*AG20)</f>
        <v>32.962295255552355</v>
      </c>
      <c r="AG16" s="1128">
        <v>6.633</v>
      </c>
      <c r="AH16" s="1129">
        <v>0.71939999999999993</v>
      </c>
      <c r="AI16" s="1127">
        <f>SQRT(AJ16^2+AK16^2)*1000/(1.73*AJ20)</f>
        <v>32.746150757983408</v>
      </c>
      <c r="AJ16" s="1128">
        <v>6.5868000000000002</v>
      </c>
      <c r="AK16" s="1129">
        <v>0.73920000000000008</v>
      </c>
      <c r="AL16" s="1127">
        <f>SQRT(AM16^2+AN16^2)*1000/(1.73*AM20)</f>
        <v>33.513437220200601</v>
      </c>
      <c r="AM16" s="1128">
        <v>6.7385999999999999</v>
      </c>
      <c r="AN16" s="1129">
        <v>0.77879999999999994</v>
      </c>
      <c r="AO16" s="1127">
        <f>SQRT(AP16^2+AQ16^2)*1000/(1.73*AP20)</f>
        <v>33.336689826391549</v>
      </c>
      <c r="AP16" s="1128">
        <v>6.7056000000000004</v>
      </c>
      <c r="AQ16" s="1129">
        <v>0.75240000000000007</v>
      </c>
      <c r="AR16" s="1127">
        <f>SQRT(AS16^2+AT16^2)*1000/(1.73*AS20)</f>
        <v>33.57450027260785</v>
      </c>
      <c r="AS16" s="1128">
        <v>6.7518000000000002</v>
      </c>
      <c r="AT16" s="1129">
        <v>0.7722</v>
      </c>
      <c r="AU16" s="1127">
        <f>SQRT(AV16^2+AW16^2)*1000/(1.73*AV20)</f>
        <v>33.189543593139575</v>
      </c>
      <c r="AV16" s="1128">
        <v>6.6726000000000001</v>
      </c>
      <c r="AW16" s="1129">
        <v>0.77879999999999994</v>
      </c>
      <c r="AX16" s="1127">
        <f>SQRT(AY16^2+AZ16^2)*1000/(1.73*AY20)</f>
        <v>33.096190899659106</v>
      </c>
      <c r="AY16" s="1128">
        <v>6.6528</v>
      </c>
      <c r="AZ16" s="1129">
        <v>0.7854000000000001</v>
      </c>
      <c r="BA16" s="1127">
        <f>SQRT(BB16^2+BC16^2)*1000/(1.73*BB20)</f>
        <v>34.597330701458169</v>
      </c>
      <c r="BB16" s="1128">
        <v>6.9563999999999995</v>
      </c>
      <c r="BC16" s="1129">
        <v>0.80520000000000003</v>
      </c>
      <c r="BD16" s="1127">
        <f>SQRT(BE16^2+BF16^2)*1000/(1.73*BE20)</f>
        <v>35.958089985200992</v>
      </c>
      <c r="BE16" s="1128">
        <v>7.2336</v>
      </c>
      <c r="BF16" s="1129">
        <v>0.80520000000000003</v>
      </c>
      <c r="BG16" s="1127">
        <f>SQRT(BH16^2+BI16^2)*1000/(1.73*BH20)</f>
        <v>36.397803361695878</v>
      </c>
      <c r="BH16" s="1128">
        <v>7.3259999999999996</v>
      </c>
      <c r="BI16" s="1129">
        <v>0.77879999999999994</v>
      </c>
      <c r="BJ16" s="1127">
        <f>SQRT(BK16^2+BL16^2)*1000/(1.73*BK20)</f>
        <v>36.858642317470142</v>
      </c>
      <c r="BK16" s="1128">
        <v>7.4183999999999992</v>
      </c>
      <c r="BL16" s="1129">
        <v>0.79200000000000004</v>
      </c>
      <c r="BM16" s="1127">
        <f>SQRT(BN16^2+BO16^2)*1000/(1.73*BN20)</f>
        <v>36.693069768892279</v>
      </c>
      <c r="BN16" s="1128">
        <v>7.3853999999999997</v>
      </c>
      <c r="BO16" s="1129">
        <v>0.78539999999999999</v>
      </c>
      <c r="BP16" s="1127">
        <f>SQRT(BQ16^2+BR16^2)*1000/(1.73*BQ20)</f>
        <v>36.271582177209226</v>
      </c>
      <c r="BQ16" s="1128">
        <v>7.2996000000000008</v>
      </c>
      <c r="BR16" s="1129">
        <v>0.78539999999999999</v>
      </c>
      <c r="BS16" s="1127">
        <f>SQRT(BT16^2+BU16^2)*1000/(1.73*BT20)</f>
        <v>35.151889093829105</v>
      </c>
      <c r="BT16" s="1128">
        <v>7.0751999999999997</v>
      </c>
      <c r="BU16" s="1129">
        <v>0.75239999999999996</v>
      </c>
      <c r="BV16" s="1127">
        <f>SQRT(BW16^2+BX16^2)*1000/(1.73*BW20)</f>
        <v>33.257563959304441</v>
      </c>
      <c r="BW16" s="1128">
        <v>6.6923999999999992</v>
      </c>
      <c r="BX16" s="1129">
        <v>0.72599999999999998</v>
      </c>
      <c r="BY16" s="1127">
        <f>SQRT(BZ16^2+CA16^2)*1000/(1.73*BZ20)</f>
        <v>30.643235338234142</v>
      </c>
      <c r="BZ16" s="1128">
        <v>6.1643999999999997</v>
      </c>
      <c r="CA16" s="1129">
        <v>0.68640000000000012</v>
      </c>
      <c r="CB16" s="1383">
        <f>SUM(I16,L16,O16,R16,U16,X16,AA16,AD16,AG16,AJ16,AM16,AP16,AS16,AV16,AY16,BB16,BE16,BH16,BK16,BN16,BQ16,BT16,BW16,BZ16)</f>
        <v>153.60839999999999</v>
      </c>
      <c r="CC16" s="1383">
        <f>SUM(J16,M16,P16,S16,V16,Y16,AB16,AE16,AH16,AK16,AN16,AQ16,AT16,AW16,AZ16,BC16,BF16,BI16,BL16,BO16,BR16,BU16,BX16,CA16)</f>
        <v>17.417399999999997</v>
      </c>
    </row>
    <row r="17" spans="1:256" x14ac:dyDescent="0.2">
      <c r="A17" s="1130"/>
      <c r="B17" s="1079"/>
      <c r="C17" s="1396"/>
      <c r="D17" s="1132" t="s">
        <v>13</v>
      </c>
      <c r="E17" s="1079"/>
      <c r="F17" s="1133" t="s">
        <v>36</v>
      </c>
      <c r="G17" s="1134"/>
      <c r="H17" s="1135"/>
      <c r="I17" s="1136"/>
      <c r="J17" s="1438"/>
      <c r="K17" s="1135"/>
      <c r="L17" s="1136"/>
      <c r="M17" s="1439"/>
      <c r="N17" s="1135"/>
      <c r="O17" s="1136"/>
      <c r="P17" s="1439"/>
      <c r="Q17" s="1135"/>
      <c r="R17" s="1136"/>
      <c r="S17" s="1439"/>
      <c r="T17" s="1135"/>
      <c r="U17" s="1136"/>
      <c r="V17" s="1439"/>
      <c r="W17" s="1135"/>
      <c r="X17" s="1136"/>
      <c r="Y17" s="1439"/>
      <c r="Z17" s="1135"/>
      <c r="AA17" s="1136"/>
      <c r="AB17" s="1439"/>
      <c r="AC17" s="1135"/>
      <c r="AD17" s="1136"/>
      <c r="AE17" s="1439"/>
      <c r="AF17" s="1135"/>
      <c r="AG17" s="1136"/>
      <c r="AH17" s="1439"/>
      <c r="AI17" s="1135"/>
      <c r="AJ17" s="1136"/>
      <c r="AK17" s="1439"/>
      <c r="AL17" s="1135"/>
      <c r="AM17" s="1136"/>
      <c r="AN17" s="1439"/>
      <c r="AO17" s="1135"/>
      <c r="AP17" s="1136"/>
      <c r="AQ17" s="1439"/>
      <c r="AR17" s="1135"/>
      <c r="AS17" s="1136"/>
      <c r="AT17" s="1439"/>
      <c r="AU17" s="1135"/>
      <c r="AV17" s="1136"/>
      <c r="AW17" s="1439"/>
      <c r="AX17" s="1135"/>
      <c r="AY17" s="1136"/>
      <c r="AZ17" s="1439"/>
      <c r="BA17" s="1135"/>
      <c r="BB17" s="1136"/>
      <c r="BC17" s="1439"/>
      <c r="BD17" s="1135"/>
      <c r="BE17" s="1136"/>
      <c r="BF17" s="1439"/>
      <c r="BG17" s="1135"/>
      <c r="BH17" s="1136"/>
      <c r="BI17" s="1439"/>
      <c r="BJ17" s="1135"/>
      <c r="BK17" s="1136"/>
      <c r="BL17" s="1439"/>
      <c r="BM17" s="1135"/>
      <c r="BN17" s="1136"/>
      <c r="BO17" s="1439"/>
      <c r="BP17" s="1135"/>
      <c r="BQ17" s="1136"/>
      <c r="BR17" s="1439"/>
      <c r="BS17" s="1135"/>
      <c r="BT17" s="1136"/>
      <c r="BU17" s="1439"/>
      <c r="BV17" s="1135"/>
      <c r="BW17" s="1136"/>
      <c r="BX17" s="1439"/>
      <c r="BY17" s="1135"/>
      <c r="BZ17" s="1136"/>
      <c r="CA17" s="1439"/>
      <c r="CB17" s="1383"/>
      <c r="CC17" s="1383"/>
    </row>
    <row r="18" spans="1:256" ht="13.5" thickBot="1" x14ac:dyDescent="0.25">
      <c r="A18" s="1130"/>
      <c r="B18" s="1459"/>
      <c r="C18" s="1396"/>
      <c r="D18" s="1132"/>
      <c r="E18" s="1079"/>
      <c r="F18" s="1441" t="s">
        <v>34</v>
      </c>
      <c r="G18" s="1134"/>
      <c r="H18" s="1135">
        <f>SQRT(I18^2+J18^2)*1000/(1.73*I22)</f>
        <v>310.34955445211563</v>
      </c>
      <c r="I18" s="1136">
        <v>5.5709999999999997</v>
      </c>
      <c r="J18" s="1129">
        <v>0.378</v>
      </c>
      <c r="K18" s="1135">
        <f>SQRT(L18^2+M18^2)*1000/(1.73*L22)</f>
        <v>289.70992302720163</v>
      </c>
      <c r="L18" s="1136">
        <v>5.1929999999999996</v>
      </c>
      <c r="M18" s="1129">
        <v>0.45</v>
      </c>
      <c r="N18" s="1135">
        <f>SQRT(O18^2+P18^2)*1000/(1.73*O22)</f>
        <v>277.56454697926165</v>
      </c>
      <c r="O18" s="1136">
        <v>4.9770000000000003</v>
      </c>
      <c r="P18" s="1129">
        <v>0.41099999999999998</v>
      </c>
      <c r="Q18" s="1135">
        <f>SQRT(R18^2+S18^2)*1000/(1.73*R22)</f>
        <v>272.30483685492982</v>
      </c>
      <c r="R18" s="1136">
        <v>4.8840000000000003</v>
      </c>
      <c r="S18" s="1129">
        <v>0.38700000000000001</v>
      </c>
      <c r="T18" s="1135">
        <f>SQRT(U18^2+V18^2)*1000/(1.73*U22)</f>
        <v>272.62198081798118</v>
      </c>
      <c r="U18" s="1136">
        <v>4.8869999999999996</v>
      </c>
      <c r="V18" s="1129">
        <v>0.42</v>
      </c>
      <c r="W18" s="1135">
        <f>SQRT(X18^2+Y18^2)*1000/(1.73*X22)</f>
        <v>281.06510521126467</v>
      </c>
      <c r="X18" s="1136">
        <v>5.0430000000000001</v>
      </c>
      <c r="Y18" s="1129">
        <v>0.375</v>
      </c>
      <c r="Z18" s="1135">
        <f>SQRT(AA18^2+AB18^2)*1000/(1.73*AA22)</f>
        <v>322.83102282336318</v>
      </c>
      <c r="AA18" s="1136">
        <v>5.8049999999999997</v>
      </c>
      <c r="AB18" s="1129">
        <v>0.19800000000000001</v>
      </c>
      <c r="AC18" s="1135">
        <f>SQRT(AD18^2+AE18^2)*1000/(1.73*AD22)</f>
        <v>362.82811508949902</v>
      </c>
      <c r="AD18" s="1136">
        <v>6.5250000000000004</v>
      </c>
      <c r="AE18" s="1129">
        <v>0.19800000000000001</v>
      </c>
      <c r="AF18" s="1135">
        <f>SQRT(AG18^2+AH18^2)*1000/(1.73*AG22)</f>
        <v>365.12365260866056</v>
      </c>
      <c r="AG18" s="1136">
        <v>6.5670000000000002</v>
      </c>
      <c r="AH18" s="1129">
        <v>0.17399999999999999</v>
      </c>
      <c r="AI18" s="1135">
        <f>SQRT(AJ18^2+AK18^2)*1000/(1.73*AJ22)</f>
        <v>363.17353912361108</v>
      </c>
      <c r="AJ18" s="1136">
        <v>6.5279999999999996</v>
      </c>
      <c r="AK18" s="1129">
        <v>0.28499999999999998</v>
      </c>
      <c r="AL18" s="1135">
        <f>SQRT(AM18^2+AN18^2)*1000/(1.73*AM22)</f>
        <v>371.60967492847215</v>
      </c>
      <c r="AM18" s="1136">
        <v>6.6779999999999999</v>
      </c>
      <c r="AN18" s="1129">
        <v>0.32700000000000001</v>
      </c>
      <c r="AO18" s="1135">
        <f>SQRT(AP18^2+AQ18^2)*1000/(1.73*AP22)</f>
        <v>369.52151891553797</v>
      </c>
      <c r="AP18" s="1136">
        <v>6.6390000000000002</v>
      </c>
      <c r="AQ18" s="1129">
        <v>0.35399999999999998</v>
      </c>
      <c r="AR18" s="1135">
        <f>SQRT(AS18^2+AT18^2)*1000/(1.73*AS22)</f>
        <v>372.67909501456114</v>
      </c>
      <c r="AS18" s="1136">
        <v>6.6929999999999996</v>
      </c>
      <c r="AT18" s="1129">
        <v>0.40500000000000003</v>
      </c>
      <c r="AU18" s="1135">
        <f>SQRT(AV18^2+AW18^2)*1000/(1.73*AV22)</f>
        <v>368.07091991295238</v>
      </c>
      <c r="AV18" s="1136">
        <v>6.609</v>
      </c>
      <c r="AW18" s="1129">
        <v>0.42</v>
      </c>
      <c r="AX18" s="1135">
        <f>SQRT(AY18^2+AZ18^2)*1000/(1.73*AY22)</f>
        <v>367.15973825079669</v>
      </c>
      <c r="AY18" s="1136">
        <v>6.5910000000000002</v>
      </c>
      <c r="AZ18" s="1129">
        <v>0.44400000000000001</v>
      </c>
      <c r="BA18" s="1135">
        <f>SQRT(BB18^2+BC18^2)*1000/(1.73*BB22)</f>
        <v>383.70417850685271</v>
      </c>
      <c r="BB18" s="1136">
        <v>6.891</v>
      </c>
      <c r="BC18" s="1129">
        <v>0.41699999999999998</v>
      </c>
      <c r="BD18" s="1135">
        <f>SQRT(BE18^2+BF18^2)*1000/(1.73*BE22)</f>
        <v>398.94001110174736</v>
      </c>
      <c r="BE18" s="1136">
        <v>7.17</v>
      </c>
      <c r="BF18" s="1129">
        <v>0.33300000000000002</v>
      </c>
      <c r="BG18" s="1135">
        <f>SQRT(BH18^2+BI18^2)*1000/(1.73*BH22)</f>
        <v>403.44273157405775</v>
      </c>
      <c r="BH18" s="1136">
        <v>7.2569999999999997</v>
      </c>
      <c r="BI18" s="1129">
        <v>0.159</v>
      </c>
      <c r="BJ18" s="1135">
        <f>SQRT(BK18^2+BL18^2)*1000/(1.73*BK22)</f>
        <v>408.74364064293542</v>
      </c>
      <c r="BK18" s="1136">
        <v>7.35</v>
      </c>
      <c r="BL18" s="1129">
        <v>0.246</v>
      </c>
      <c r="BM18" s="1135">
        <f>SQRT(BN18^2+BO18^2)*1000/(1.73*BN22)</f>
        <v>407.06354421407963</v>
      </c>
      <c r="BN18" s="1136">
        <v>7.3230000000000004</v>
      </c>
      <c r="BO18" s="1129">
        <v>0.114</v>
      </c>
      <c r="BP18" s="1135">
        <f>SQRT(BQ18^2+BR18^2)*1000/(1.73*BQ22)</f>
        <v>402.22775606204084</v>
      </c>
      <c r="BQ18" s="1136">
        <v>7.2329999999999997</v>
      </c>
      <c r="BR18" s="1129">
        <v>0.23699999999999999</v>
      </c>
      <c r="BS18" s="1135">
        <f>SQRT(BT18^2+BU18^2)*1000/(1.73*BT22)</f>
        <v>389.75537255831165</v>
      </c>
      <c r="BT18" s="1136">
        <v>7.0110000000000001</v>
      </c>
      <c r="BU18" s="1129">
        <v>0.14399999999999999</v>
      </c>
      <c r="BV18" s="1135">
        <f>SQRT(BW18^2+BX18^2)*1000/(1.73*BW22)</f>
        <v>368.62399204627167</v>
      </c>
      <c r="BW18" s="1136">
        <v>6.63</v>
      </c>
      <c r="BX18" s="1129">
        <v>0.17399999999999999</v>
      </c>
      <c r="BY18" s="1135">
        <f>SQRT(BZ18^2+CA18^2)*1000/(1.73*BZ22)</f>
        <v>339.6133410426504</v>
      </c>
      <c r="BZ18" s="1136">
        <v>6.1050000000000004</v>
      </c>
      <c r="CA18" s="1129">
        <v>0.255</v>
      </c>
      <c r="CB18" s="1383">
        <f>SUM(I18,L18,O18,R18,U18,X18,AA18,AD18,AG18,AJ18,AM18,AP18,AS18,AV18,AY18,BB18,BE18,BH18,BK18,BN18,BQ18,BT18,BW18,BZ18)</f>
        <v>152.15999999999997</v>
      </c>
      <c r="CC18" s="1383">
        <f>SUM(J18,M18,P18,S18,V18,Y18,AB18,AE18,AH18,AK18,AN18,AQ18,AT18,AW18,AZ18,BC18,BF18,BI18,BL18,BO18,BR18,BU18,BX18,CA18)</f>
        <v>7.3050000000000006</v>
      </c>
    </row>
    <row r="19" spans="1:256" ht="13.5" thickBot="1" x14ac:dyDescent="0.25">
      <c r="A19" s="1137"/>
      <c r="B19" s="1139" t="s">
        <v>1</v>
      </c>
      <c r="C19" s="1396">
        <v>25</v>
      </c>
      <c r="D19" s="1140" t="s">
        <v>39</v>
      </c>
      <c r="E19" s="1141"/>
      <c r="F19" s="1141"/>
      <c r="G19" s="1142"/>
      <c r="H19" s="1442"/>
      <c r="I19" s="1144" t="s">
        <v>308</v>
      </c>
      <c r="J19" s="1145"/>
      <c r="K19" s="1442"/>
      <c r="L19" s="1144" t="s">
        <v>308</v>
      </c>
      <c r="M19" s="1145"/>
      <c r="N19" s="1442"/>
      <c r="O19" s="1144" t="s">
        <v>308</v>
      </c>
      <c r="P19" s="1145"/>
      <c r="Q19" s="1442"/>
      <c r="R19" s="1144" t="s">
        <v>308</v>
      </c>
      <c r="S19" s="1145"/>
      <c r="T19" s="1442"/>
      <c r="U19" s="1144" t="s">
        <v>308</v>
      </c>
      <c r="V19" s="1145"/>
      <c r="W19" s="1442"/>
      <c r="X19" s="1144" t="s">
        <v>308</v>
      </c>
      <c r="Y19" s="1145"/>
      <c r="Z19" s="1442"/>
      <c r="AA19" s="1144" t="s">
        <v>308</v>
      </c>
      <c r="AB19" s="1145"/>
      <c r="AC19" s="1442"/>
      <c r="AD19" s="1144" t="s">
        <v>308</v>
      </c>
      <c r="AE19" s="1145"/>
      <c r="AF19" s="1442"/>
      <c r="AG19" s="1144" t="s">
        <v>308</v>
      </c>
      <c r="AH19" s="1145"/>
      <c r="AI19" s="1442"/>
      <c r="AJ19" s="1144" t="s">
        <v>308</v>
      </c>
      <c r="AK19" s="1145"/>
      <c r="AL19" s="1442"/>
      <c r="AM19" s="1144" t="s">
        <v>308</v>
      </c>
      <c r="AN19" s="1145"/>
      <c r="AO19" s="1442"/>
      <c r="AP19" s="1144" t="s">
        <v>308</v>
      </c>
      <c r="AQ19" s="1145"/>
      <c r="AR19" s="1442"/>
      <c r="AS19" s="1144" t="s">
        <v>308</v>
      </c>
      <c r="AT19" s="1145"/>
      <c r="AU19" s="1442"/>
      <c r="AV19" s="1144" t="s">
        <v>308</v>
      </c>
      <c r="AW19" s="1145"/>
      <c r="AX19" s="1442"/>
      <c r="AY19" s="1144" t="s">
        <v>308</v>
      </c>
      <c r="AZ19" s="1145"/>
      <c r="BA19" s="1442"/>
      <c r="BB19" s="1144" t="s">
        <v>308</v>
      </c>
      <c r="BC19" s="1145"/>
      <c r="BD19" s="1442"/>
      <c r="BE19" s="1144" t="s">
        <v>308</v>
      </c>
      <c r="BF19" s="1145"/>
      <c r="BG19" s="1442"/>
      <c r="BH19" s="1144" t="s">
        <v>308</v>
      </c>
      <c r="BI19" s="1145"/>
      <c r="BJ19" s="1442"/>
      <c r="BK19" s="1144" t="s">
        <v>308</v>
      </c>
      <c r="BL19" s="1145"/>
      <c r="BM19" s="1442"/>
      <c r="BN19" s="1144" t="s">
        <v>308</v>
      </c>
      <c r="BO19" s="1145"/>
      <c r="BP19" s="1442"/>
      <c r="BQ19" s="1144" t="s">
        <v>308</v>
      </c>
      <c r="BR19" s="1145"/>
      <c r="BS19" s="1442"/>
      <c r="BT19" s="1144" t="s">
        <v>308</v>
      </c>
      <c r="BU19" s="1145"/>
      <c r="BV19" s="1442"/>
      <c r="BW19" s="1144" t="s">
        <v>308</v>
      </c>
      <c r="BX19" s="1145"/>
      <c r="BY19" s="1442"/>
      <c r="BZ19" s="1144" t="s">
        <v>308</v>
      </c>
      <c r="CA19" s="1145"/>
      <c r="CB19" s="1146"/>
      <c r="CC19" s="1146"/>
      <c r="CD19" s="1146"/>
      <c r="CE19" s="1146"/>
      <c r="CF19" s="1146"/>
      <c r="CG19" s="1146"/>
      <c r="CH19" s="1146"/>
      <c r="CI19" s="1146"/>
      <c r="CJ19" s="1146"/>
      <c r="CK19" s="1146"/>
      <c r="CL19" s="1146"/>
      <c r="CM19" s="1146"/>
      <c r="CN19" s="1146"/>
      <c r="CO19" s="1146"/>
      <c r="CP19" s="1146"/>
      <c r="CQ19" s="1146"/>
      <c r="CR19" s="1146"/>
      <c r="CS19" s="1146"/>
      <c r="CT19" s="1146"/>
      <c r="CU19" s="1146"/>
      <c r="CV19" s="1146"/>
      <c r="CW19" s="1146"/>
      <c r="CX19" s="1146"/>
      <c r="CY19" s="1146"/>
      <c r="CZ19" s="1146"/>
      <c r="DA19" s="1146"/>
      <c r="DB19" s="1146"/>
      <c r="DC19" s="1146"/>
      <c r="DD19" s="1146"/>
      <c r="DE19" s="1146"/>
      <c r="DF19" s="1146"/>
      <c r="DG19" s="1146"/>
      <c r="DH19" s="1146"/>
      <c r="DI19" s="1146"/>
      <c r="DJ19" s="1146"/>
      <c r="DK19" s="1146"/>
      <c r="DL19" s="1146"/>
      <c r="DM19" s="1146"/>
      <c r="DN19" s="1146"/>
      <c r="DO19" s="1146"/>
      <c r="DP19" s="1146"/>
      <c r="DQ19" s="1146"/>
      <c r="DR19" s="1146"/>
      <c r="DS19" s="1146"/>
      <c r="DT19" s="1146"/>
      <c r="DU19" s="1146"/>
      <c r="DV19" s="1146"/>
      <c r="DW19" s="1146"/>
      <c r="DX19" s="1146"/>
      <c r="DY19" s="1146"/>
      <c r="DZ19" s="1146"/>
      <c r="EA19" s="1146"/>
      <c r="EB19" s="1146"/>
      <c r="EC19" s="1146"/>
      <c r="ED19" s="1146"/>
      <c r="EE19" s="1146"/>
      <c r="EF19" s="1146"/>
      <c r="EG19" s="1146"/>
      <c r="EH19" s="1146"/>
      <c r="EI19" s="1146"/>
      <c r="EJ19" s="1146"/>
      <c r="EK19" s="1146"/>
      <c r="EL19" s="1146"/>
      <c r="EM19" s="1146"/>
      <c r="EN19" s="1146"/>
      <c r="EO19" s="1146"/>
      <c r="EP19" s="1146"/>
      <c r="EQ19" s="1146"/>
      <c r="ER19" s="1146"/>
      <c r="ES19" s="1146"/>
      <c r="ET19" s="1146"/>
      <c r="EU19" s="1146"/>
      <c r="EV19" s="1146"/>
      <c r="EW19" s="1146"/>
      <c r="EX19" s="1146"/>
      <c r="EY19" s="1146"/>
      <c r="EZ19" s="1146"/>
      <c r="FA19" s="1146"/>
      <c r="FB19" s="1146"/>
      <c r="FC19" s="1146"/>
      <c r="FD19" s="1146"/>
      <c r="FE19" s="1146"/>
      <c r="FF19" s="1146"/>
      <c r="FG19" s="1146"/>
      <c r="FH19" s="1146"/>
      <c r="FI19" s="1146"/>
      <c r="FJ19" s="1146"/>
      <c r="FK19" s="1146"/>
      <c r="FL19" s="1146"/>
      <c r="FM19" s="1146"/>
      <c r="FN19" s="1146"/>
      <c r="FO19" s="1146"/>
      <c r="FP19" s="1146"/>
      <c r="FQ19" s="1146"/>
      <c r="FR19" s="1146"/>
      <c r="FS19" s="1146"/>
      <c r="FT19" s="1146"/>
      <c r="FU19" s="1146"/>
      <c r="FV19" s="1146"/>
      <c r="FW19" s="1146"/>
      <c r="FX19" s="1146"/>
      <c r="FY19" s="1146"/>
      <c r="FZ19" s="1146"/>
      <c r="GA19" s="1146"/>
      <c r="GB19" s="1146"/>
      <c r="GC19" s="1146"/>
      <c r="GD19" s="1146"/>
      <c r="GE19" s="1146"/>
      <c r="GF19" s="1146"/>
      <c r="GG19" s="1146"/>
      <c r="GH19" s="1146"/>
      <c r="GI19" s="1146"/>
      <c r="GJ19" s="1146"/>
      <c r="GK19" s="1146"/>
      <c r="GL19" s="1146"/>
      <c r="GM19" s="1146"/>
      <c r="GN19" s="1146"/>
      <c r="GO19" s="1146"/>
      <c r="GP19" s="1146"/>
      <c r="GQ19" s="1146"/>
      <c r="GR19" s="1146"/>
      <c r="GS19" s="1146"/>
      <c r="GT19" s="1146"/>
      <c r="GU19" s="1146"/>
      <c r="GV19" s="1146"/>
      <c r="GW19" s="1146"/>
      <c r="GX19" s="1146"/>
      <c r="GY19" s="1146"/>
      <c r="GZ19" s="1146"/>
      <c r="HA19" s="1146"/>
      <c r="HB19" s="1146"/>
      <c r="HC19" s="1146"/>
      <c r="HD19" s="1146"/>
      <c r="HE19" s="1146"/>
      <c r="HF19" s="1146"/>
      <c r="HG19" s="1146"/>
      <c r="HH19" s="1146"/>
      <c r="HI19" s="1146"/>
      <c r="HJ19" s="1146"/>
      <c r="HK19" s="1146"/>
      <c r="HL19" s="1146"/>
      <c r="HM19" s="1146"/>
      <c r="HN19" s="1146"/>
      <c r="HO19" s="1146"/>
      <c r="HP19" s="1146"/>
      <c r="HQ19" s="1146"/>
      <c r="HR19" s="1146"/>
      <c r="HS19" s="1146"/>
      <c r="HT19" s="1146"/>
      <c r="HU19" s="1146"/>
      <c r="HV19" s="1146"/>
      <c r="HW19" s="1146"/>
      <c r="HX19" s="1146"/>
      <c r="HY19" s="1146"/>
      <c r="HZ19" s="1146"/>
      <c r="IA19" s="1146"/>
      <c r="IB19" s="1146"/>
      <c r="IC19" s="1146"/>
      <c r="ID19" s="1146"/>
      <c r="IE19" s="1146"/>
      <c r="IF19" s="1146"/>
      <c r="IG19" s="1146"/>
      <c r="IH19" s="1146"/>
      <c r="II19" s="1146"/>
      <c r="IJ19" s="1146"/>
      <c r="IK19" s="1146"/>
      <c r="IL19" s="1146"/>
      <c r="IM19" s="1146"/>
      <c r="IN19" s="1146"/>
      <c r="IO19" s="1146"/>
      <c r="IP19" s="1146"/>
      <c r="IQ19" s="1146"/>
      <c r="IR19" s="1146"/>
      <c r="IS19" s="1146"/>
      <c r="IT19" s="1146"/>
      <c r="IU19" s="1146"/>
      <c r="IV19" s="1146"/>
    </row>
    <row r="20" spans="1:256" x14ac:dyDescent="0.2">
      <c r="A20" s="1384"/>
      <c r="B20" s="1385"/>
      <c r="C20" s="1386"/>
      <c r="D20" s="1384" t="s">
        <v>14</v>
      </c>
      <c r="E20" s="1385"/>
      <c r="F20" s="1387" t="s">
        <v>33</v>
      </c>
      <c r="G20" s="1397"/>
      <c r="H20" s="1389"/>
      <c r="I20" s="1444">
        <v>117</v>
      </c>
      <c r="J20" s="1445"/>
      <c r="K20" s="1389"/>
      <c r="L20" s="1444">
        <v>117</v>
      </c>
      <c r="M20" s="1445"/>
      <c r="N20" s="1389"/>
      <c r="O20" s="1444">
        <v>117</v>
      </c>
      <c r="P20" s="1445"/>
      <c r="Q20" s="1389"/>
      <c r="R20" s="1444">
        <v>117</v>
      </c>
      <c r="S20" s="1445"/>
      <c r="T20" s="1389"/>
      <c r="U20" s="1444">
        <v>117</v>
      </c>
      <c r="V20" s="1445"/>
      <c r="W20" s="1389"/>
      <c r="X20" s="1444">
        <v>117</v>
      </c>
      <c r="Y20" s="1445"/>
      <c r="Z20" s="1389"/>
      <c r="AA20" s="1444">
        <v>117</v>
      </c>
      <c r="AB20" s="1445"/>
      <c r="AC20" s="1389"/>
      <c r="AD20" s="1444">
        <v>117</v>
      </c>
      <c r="AE20" s="1445"/>
      <c r="AF20" s="1389"/>
      <c r="AG20" s="1444">
        <v>117</v>
      </c>
      <c r="AH20" s="1445"/>
      <c r="AI20" s="1389"/>
      <c r="AJ20" s="1444">
        <v>117</v>
      </c>
      <c r="AK20" s="1445"/>
      <c r="AL20" s="1389"/>
      <c r="AM20" s="1444">
        <v>117</v>
      </c>
      <c r="AN20" s="1445"/>
      <c r="AO20" s="1389"/>
      <c r="AP20" s="1444">
        <v>117</v>
      </c>
      <c r="AQ20" s="1445"/>
      <c r="AR20" s="1389"/>
      <c r="AS20" s="1444">
        <v>117</v>
      </c>
      <c r="AT20" s="1445"/>
      <c r="AU20" s="1389"/>
      <c r="AV20" s="1444">
        <v>117</v>
      </c>
      <c r="AW20" s="1445"/>
      <c r="AX20" s="1389"/>
      <c r="AY20" s="1444">
        <v>117</v>
      </c>
      <c r="AZ20" s="1445"/>
      <c r="BA20" s="1389"/>
      <c r="BB20" s="1444">
        <v>117</v>
      </c>
      <c r="BC20" s="1445"/>
      <c r="BD20" s="1389"/>
      <c r="BE20" s="1444">
        <v>117</v>
      </c>
      <c r="BF20" s="1445"/>
      <c r="BG20" s="1389"/>
      <c r="BH20" s="1444">
        <v>117</v>
      </c>
      <c r="BI20" s="1445"/>
      <c r="BJ20" s="1389"/>
      <c r="BK20" s="1444">
        <v>117</v>
      </c>
      <c r="BL20" s="1445"/>
      <c r="BM20" s="1389"/>
      <c r="BN20" s="1444">
        <v>117</v>
      </c>
      <c r="BO20" s="1445"/>
      <c r="BP20" s="1389"/>
      <c r="BQ20" s="1444">
        <v>117</v>
      </c>
      <c r="BR20" s="1445"/>
      <c r="BS20" s="1389"/>
      <c r="BT20" s="1444">
        <v>117</v>
      </c>
      <c r="BU20" s="1445"/>
      <c r="BV20" s="1389"/>
      <c r="BW20" s="1444">
        <v>117</v>
      </c>
      <c r="BX20" s="1445"/>
      <c r="BY20" s="1389"/>
      <c r="BZ20" s="1444">
        <v>117</v>
      </c>
      <c r="CA20" s="1445"/>
      <c r="CB20" s="1391"/>
      <c r="CC20" s="1391"/>
      <c r="CD20" s="1391"/>
      <c r="CE20" s="1391"/>
      <c r="CF20" s="1391"/>
      <c r="CG20" s="1391"/>
      <c r="CH20" s="1391"/>
      <c r="CI20" s="1391"/>
      <c r="CJ20" s="1391"/>
      <c r="CK20" s="1391"/>
      <c r="CL20" s="1391"/>
      <c r="CM20" s="1391"/>
      <c r="CN20" s="1391"/>
      <c r="CO20" s="1391"/>
      <c r="CP20" s="1391"/>
      <c r="CQ20" s="1391"/>
      <c r="CR20" s="1391"/>
      <c r="CS20" s="1391"/>
      <c r="CT20" s="1391"/>
      <c r="CU20" s="1391"/>
      <c r="CV20" s="1391"/>
      <c r="CW20" s="1391"/>
      <c r="CX20" s="1391"/>
      <c r="CY20" s="1391"/>
      <c r="CZ20" s="1391"/>
      <c r="DA20" s="1391"/>
      <c r="DB20" s="1391"/>
      <c r="DC20" s="1391"/>
      <c r="DD20" s="1391"/>
      <c r="DE20" s="1391"/>
      <c r="DF20" s="1391"/>
      <c r="DG20" s="1391"/>
      <c r="DH20" s="1391"/>
      <c r="DI20" s="1391"/>
      <c r="DJ20" s="1391"/>
      <c r="DK20" s="1391"/>
      <c r="DL20" s="1391"/>
      <c r="DM20" s="1391"/>
      <c r="DN20" s="1391"/>
      <c r="DO20" s="1391"/>
      <c r="DP20" s="1391"/>
      <c r="DQ20" s="1391"/>
      <c r="DR20" s="1391"/>
      <c r="DS20" s="1391"/>
      <c r="DT20" s="1391"/>
      <c r="DU20" s="1391"/>
      <c r="DV20" s="1391"/>
      <c r="DW20" s="1391"/>
      <c r="DX20" s="1391"/>
      <c r="DY20" s="1391"/>
      <c r="DZ20" s="1391"/>
      <c r="EA20" s="1391"/>
      <c r="EB20" s="1391"/>
      <c r="EC20" s="1391"/>
      <c r="ED20" s="1391"/>
      <c r="EE20" s="1391"/>
      <c r="EF20" s="1391"/>
      <c r="EG20" s="1391"/>
      <c r="EH20" s="1391"/>
      <c r="EI20" s="1391"/>
      <c r="EJ20" s="1391"/>
      <c r="EK20" s="1391"/>
      <c r="EL20" s="1391"/>
      <c r="EM20" s="1391"/>
      <c r="EN20" s="1391"/>
      <c r="EO20" s="1391"/>
      <c r="EP20" s="1391"/>
      <c r="EQ20" s="1391"/>
      <c r="ER20" s="1391"/>
      <c r="ES20" s="1391"/>
      <c r="ET20" s="1391"/>
      <c r="EU20" s="1391"/>
      <c r="EV20" s="1391"/>
      <c r="EW20" s="1391"/>
      <c r="EX20" s="1391"/>
      <c r="EY20" s="1391"/>
      <c r="EZ20" s="1391"/>
      <c r="FA20" s="1391"/>
      <c r="FB20" s="1391"/>
      <c r="FC20" s="1391"/>
      <c r="FD20" s="1391"/>
      <c r="FE20" s="1391"/>
      <c r="FF20" s="1391"/>
      <c r="FG20" s="1391"/>
      <c r="FH20" s="1391"/>
      <c r="FI20" s="1391"/>
      <c r="FJ20" s="1391"/>
      <c r="FK20" s="1391"/>
      <c r="FL20" s="1391"/>
      <c r="FM20" s="1391"/>
      <c r="FN20" s="1391"/>
      <c r="FO20" s="1391"/>
      <c r="FP20" s="1391"/>
      <c r="FQ20" s="1391"/>
      <c r="FR20" s="1391"/>
      <c r="FS20" s="1391"/>
      <c r="FT20" s="1391"/>
      <c r="FU20" s="1391"/>
      <c r="FV20" s="1391"/>
      <c r="FW20" s="1391"/>
      <c r="FX20" s="1391"/>
      <c r="FY20" s="1391"/>
      <c r="FZ20" s="1391"/>
      <c r="GA20" s="1391"/>
      <c r="GB20" s="1391"/>
      <c r="GC20" s="1391"/>
      <c r="GD20" s="1391"/>
      <c r="GE20" s="1391"/>
      <c r="GF20" s="1391"/>
      <c r="GG20" s="1391"/>
      <c r="GH20" s="1391"/>
      <c r="GI20" s="1391"/>
      <c r="GJ20" s="1391"/>
      <c r="GK20" s="1391"/>
      <c r="GL20" s="1391"/>
      <c r="GM20" s="1391"/>
      <c r="GN20" s="1391"/>
      <c r="GO20" s="1391"/>
      <c r="GP20" s="1391"/>
      <c r="GQ20" s="1391"/>
      <c r="GR20" s="1391"/>
      <c r="GS20" s="1391"/>
      <c r="GT20" s="1391"/>
      <c r="GU20" s="1391"/>
      <c r="GV20" s="1391"/>
      <c r="GW20" s="1391"/>
      <c r="GX20" s="1391"/>
      <c r="GY20" s="1391"/>
      <c r="GZ20" s="1391"/>
      <c r="HA20" s="1391"/>
      <c r="HB20" s="1391"/>
      <c r="HC20" s="1391"/>
      <c r="HD20" s="1391"/>
      <c r="HE20" s="1391"/>
      <c r="HF20" s="1391"/>
      <c r="HG20" s="1391"/>
      <c r="HH20" s="1391"/>
      <c r="HI20" s="1391"/>
      <c r="HJ20" s="1391"/>
      <c r="HK20" s="1391"/>
      <c r="HL20" s="1391"/>
      <c r="HM20" s="1391"/>
      <c r="HN20" s="1391"/>
      <c r="HO20" s="1391"/>
      <c r="HP20" s="1391"/>
      <c r="HQ20" s="1391"/>
      <c r="HR20" s="1391"/>
      <c r="HS20" s="1391"/>
      <c r="HT20" s="1391"/>
      <c r="HU20" s="1391"/>
      <c r="HV20" s="1391"/>
      <c r="HW20" s="1391"/>
      <c r="HX20" s="1391"/>
      <c r="HY20" s="1391"/>
      <c r="HZ20" s="1391"/>
      <c r="IA20" s="1391"/>
      <c r="IB20" s="1391"/>
      <c r="IC20" s="1391"/>
      <c r="ID20" s="1391"/>
      <c r="IE20" s="1391"/>
      <c r="IF20" s="1391"/>
      <c r="IG20" s="1391"/>
      <c r="IH20" s="1391"/>
      <c r="II20" s="1391"/>
      <c r="IJ20" s="1391"/>
      <c r="IK20" s="1391"/>
      <c r="IL20" s="1391"/>
      <c r="IM20" s="1391"/>
      <c r="IN20" s="1391"/>
      <c r="IO20" s="1391"/>
      <c r="IP20" s="1391"/>
      <c r="IQ20" s="1391"/>
      <c r="IR20" s="1391"/>
      <c r="IS20" s="1391"/>
      <c r="IT20" s="1391"/>
      <c r="IU20" s="1391"/>
      <c r="IV20" s="1391"/>
    </row>
    <row r="21" spans="1:256" x14ac:dyDescent="0.2">
      <c r="A21" s="1132"/>
      <c r="B21" s="1079"/>
      <c r="C21" s="1396"/>
      <c r="D21" s="1132" t="s">
        <v>14</v>
      </c>
      <c r="E21" s="1131"/>
      <c r="F21" s="1133" t="s">
        <v>36</v>
      </c>
      <c r="G21" s="1338"/>
      <c r="H21" s="1179"/>
      <c r="I21" s="1447"/>
      <c r="J21" s="1448"/>
      <c r="K21" s="1179"/>
      <c r="L21" s="1447"/>
      <c r="M21" s="1445"/>
      <c r="N21" s="1179"/>
      <c r="O21" s="1447"/>
      <c r="P21" s="1445"/>
      <c r="Q21" s="1179"/>
      <c r="R21" s="1447"/>
      <c r="S21" s="1445"/>
      <c r="T21" s="1179"/>
      <c r="U21" s="1447"/>
      <c r="V21" s="1445"/>
      <c r="W21" s="1179"/>
      <c r="X21" s="1447"/>
      <c r="Y21" s="1445"/>
      <c r="Z21" s="1179"/>
      <c r="AA21" s="1447"/>
      <c r="AB21" s="1445"/>
      <c r="AC21" s="1179"/>
      <c r="AD21" s="1447"/>
      <c r="AE21" s="1445"/>
      <c r="AF21" s="1179"/>
      <c r="AG21" s="1447"/>
      <c r="AH21" s="1445"/>
      <c r="AI21" s="1179"/>
      <c r="AJ21" s="1447"/>
      <c r="AK21" s="1445"/>
      <c r="AL21" s="1179"/>
      <c r="AM21" s="1447"/>
      <c r="AN21" s="1445"/>
      <c r="AO21" s="1179"/>
      <c r="AP21" s="1447"/>
      <c r="AQ21" s="1445"/>
      <c r="AR21" s="1179"/>
      <c r="AS21" s="1447"/>
      <c r="AT21" s="1445"/>
      <c r="AU21" s="1179"/>
      <c r="AV21" s="1447"/>
      <c r="AW21" s="1445"/>
      <c r="AX21" s="1179"/>
      <c r="AY21" s="1447"/>
      <c r="AZ21" s="1445"/>
      <c r="BA21" s="1179"/>
      <c r="BB21" s="1447"/>
      <c r="BC21" s="1445"/>
      <c r="BD21" s="1179"/>
      <c r="BE21" s="1447"/>
      <c r="BF21" s="1445"/>
      <c r="BG21" s="1179"/>
      <c r="BH21" s="1447"/>
      <c r="BI21" s="1445"/>
      <c r="BJ21" s="1179"/>
      <c r="BK21" s="1447"/>
      <c r="BL21" s="1445"/>
      <c r="BM21" s="1179"/>
      <c r="BN21" s="1447"/>
      <c r="BO21" s="1445"/>
      <c r="BP21" s="1179"/>
      <c r="BQ21" s="1447"/>
      <c r="BR21" s="1445"/>
      <c r="BS21" s="1179"/>
      <c r="BT21" s="1447"/>
      <c r="BU21" s="1445"/>
      <c r="BV21" s="1179"/>
      <c r="BW21" s="1447"/>
      <c r="BX21" s="1445"/>
      <c r="BY21" s="1179"/>
      <c r="BZ21" s="1447"/>
      <c r="CA21" s="1445"/>
    </row>
    <row r="22" spans="1:256" ht="13.5" thickBot="1" x14ac:dyDescent="0.25">
      <c r="A22" s="1132"/>
      <c r="B22" s="1079"/>
      <c r="C22" s="1302"/>
      <c r="D22" s="1132"/>
      <c r="E22" s="1131"/>
      <c r="F22" s="1441" t="s">
        <v>34</v>
      </c>
      <c r="G22" s="1460"/>
      <c r="H22" s="1389"/>
      <c r="I22" s="1451">
        <v>10.4</v>
      </c>
      <c r="J22" s="1445"/>
      <c r="K22" s="1389"/>
      <c r="L22" s="1451">
        <v>10.4</v>
      </c>
      <c r="M22" s="1445"/>
      <c r="N22" s="1389"/>
      <c r="O22" s="1451">
        <v>10.4</v>
      </c>
      <c r="P22" s="1445"/>
      <c r="Q22" s="1389"/>
      <c r="R22" s="1451">
        <v>10.4</v>
      </c>
      <c r="S22" s="1445"/>
      <c r="T22" s="1389"/>
      <c r="U22" s="1451">
        <v>10.4</v>
      </c>
      <c r="V22" s="1445"/>
      <c r="W22" s="1389"/>
      <c r="X22" s="1451">
        <v>10.4</v>
      </c>
      <c r="Y22" s="1445"/>
      <c r="Z22" s="1389"/>
      <c r="AA22" s="1451">
        <v>10.4</v>
      </c>
      <c r="AB22" s="1445"/>
      <c r="AC22" s="1389"/>
      <c r="AD22" s="1451">
        <v>10.4</v>
      </c>
      <c r="AE22" s="1445"/>
      <c r="AF22" s="1389"/>
      <c r="AG22" s="1451">
        <v>10.4</v>
      </c>
      <c r="AH22" s="1445"/>
      <c r="AI22" s="1389"/>
      <c r="AJ22" s="1451">
        <v>10.4</v>
      </c>
      <c r="AK22" s="1445"/>
      <c r="AL22" s="1389"/>
      <c r="AM22" s="1451">
        <v>10.4</v>
      </c>
      <c r="AN22" s="1445"/>
      <c r="AO22" s="1389"/>
      <c r="AP22" s="1451">
        <v>10.4</v>
      </c>
      <c r="AQ22" s="1445"/>
      <c r="AR22" s="1389"/>
      <c r="AS22" s="1451">
        <v>10.4</v>
      </c>
      <c r="AT22" s="1445"/>
      <c r="AU22" s="1389"/>
      <c r="AV22" s="1451">
        <v>10.4</v>
      </c>
      <c r="AW22" s="1445"/>
      <c r="AX22" s="1389"/>
      <c r="AY22" s="1451">
        <v>10.4</v>
      </c>
      <c r="AZ22" s="1445"/>
      <c r="BA22" s="1389"/>
      <c r="BB22" s="1451">
        <v>10.4</v>
      </c>
      <c r="BC22" s="1445"/>
      <c r="BD22" s="1389"/>
      <c r="BE22" s="1451">
        <v>10.4</v>
      </c>
      <c r="BF22" s="1445"/>
      <c r="BG22" s="1389"/>
      <c r="BH22" s="1451">
        <v>10.4</v>
      </c>
      <c r="BI22" s="1445"/>
      <c r="BJ22" s="1389"/>
      <c r="BK22" s="1451">
        <v>10.4</v>
      </c>
      <c r="BL22" s="1445"/>
      <c r="BM22" s="1389"/>
      <c r="BN22" s="1451">
        <v>10.4</v>
      </c>
      <c r="BO22" s="1445"/>
      <c r="BP22" s="1389"/>
      <c r="BQ22" s="1451">
        <v>10.4</v>
      </c>
      <c r="BR22" s="1445"/>
      <c r="BS22" s="1389"/>
      <c r="BT22" s="1451">
        <v>10.4</v>
      </c>
      <c r="BU22" s="1445"/>
      <c r="BV22" s="1389"/>
      <c r="BW22" s="1451">
        <v>10.4</v>
      </c>
      <c r="BX22" s="1445"/>
      <c r="BY22" s="1389"/>
      <c r="BZ22" s="1451">
        <v>10.4</v>
      </c>
      <c r="CA22" s="1445"/>
    </row>
    <row r="23" spans="1:256" ht="13.5" thickBot="1" x14ac:dyDescent="0.25">
      <c r="A23" s="1132"/>
      <c r="B23" s="1079"/>
      <c r="C23" s="1183"/>
      <c r="D23" s="1184" t="s">
        <v>83</v>
      </c>
      <c r="E23" s="1185"/>
      <c r="F23" s="1185"/>
      <c r="G23" s="1186"/>
      <c r="H23" s="1456"/>
      <c r="I23" s="1457"/>
      <c r="J23" s="1458"/>
      <c r="K23" s="1456"/>
      <c r="L23" s="1457"/>
      <c r="M23" s="1458"/>
      <c r="N23" s="1456"/>
      <c r="O23" s="1457"/>
      <c r="P23" s="1458"/>
      <c r="Q23" s="1456"/>
      <c r="R23" s="1457"/>
      <c r="S23" s="1458"/>
      <c r="T23" s="1456"/>
      <c r="U23" s="1457"/>
      <c r="V23" s="1458"/>
      <c r="W23" s="1456"/>
      <c r="X23" s="1457"/>
      <c r="Y23" s="1458"/>
      <c r="Z23" s="1456"/>
      <c r="AA23" s="1457"/>
      <c r="AB23" s="1458"/>
      <c r="AC23" s="1456"/>
      <c r="AD23" s="1457"/>
      <c r="AE23" s="1458"/>
      <c r="AF23" s="1456"/>
      <c r="AG23" s="1457"/>
      <c r="AH23" s="1458"/>
      <c r="AI23" s="1456"/>
      <c r="AJ23" s="1457"/>
      <c r="AK23" s="1458"/>
      <c r="AL23" s="1456"/>
      <c r="AM23" s="1457"/>
      <c r="AN23" s="1458"/>
      <c r="AO23" s="1456"/>
      <c r="AP23" s="1457"/>
      <c r="AQ23" s="1458"/>
      <c r="AR23" s="1456"/>
      <c r="AS23" s="1457"/>
      <c r="AT23" s="1458"/>
      <c r="AU23" s="1456"/>
      <c r="AV23" s="1457"/>
      <c r="AW23" s="1458"/>
      <c r="AX23" s="1456"/>
      <c r="AY23" s="1457"/>
      <c r="AZ23" s="1458"/>
      <c r="BA23" s="1456"/>
      <c r="BB23" s="1457"/>
      <c r="BC23" s="1458"/>
      <c r="BD23" s="1456"/>
      <c r="BE23" s="1457"/>
      <c r="BF23" s="1458"/>
      <c r="BG23" s="1456"/>
      <c r="BH23" s="1457"/>
      <c r="BI23" s="1458"/>
      <c r="BJ23" s="1456"/>
      <c r="BK23" s="1457"/>
      <c r="BL23" s="1458"/>
      <c r="BM23" s="1456"/>
      <c r="BN23" s="1457"/>
      <c r="BO23" s="1458"/>
      <c r="BP23" s="1456"/>
      <c r="BQ23" s="1457"/>
      <c r="BR23" s="1458"/>
      <c r="BS23" s="1456"/>
      <c r="BT23" s="1457"/>
      <c r="BU23" s="1458"/>
      <c r="BV23" s="1456"/>
      <c r="BW23" s="1457"/>
      <c r="BX23" s="1458"/>
      <c r="BY23" s="1456"/>
      <c r="BZ23" s="1457"/>
      <c r="CA23" s="1458"/>
    </row>
    <row r="24" spans="1:256" x14ac:dyDescent="0.2">
      <c r="A24" s="2426" t="s">
        <v>182</v>
      </c>
      <c r="B24" s="2427"/>
      <c r="C24" s="1398">
        <v>6.3E-2</v>
      </c>
      <c r="D24" s="2426" t="s">
        <v>13</v>
      </c>
      <c r="E24" s="2427"/>
      <c r="F24" s="1190" t="s">
        <v>82</v>
      </c>
      <c r="G24" s="1191"/>
      <c r="H24" s="1227">
        <f>SQRT(I24^2+J24^2)*1000/(1.73*0.4)</f>
        <v>9.895953757225433</v>
      </c>
      <c r="I24" s="1254">
        <v>6.8479999999999999E-3</v>
      </c>
      <c r="J24" s="1415"/>
      <c r="K24" s="1227">
        <f>SQRT(L24^2+M24^2)*1000/(1.73*0.4)</f>
        <v>7.5375722543352586</v>
      </c>
      <c r="L24" s="1254">
        <v>5.2159999999999993E-3</v>
      </c>
      <c r="M24" s="1415"/>
      <c r="N24" s="1227">
        <f>SQRT(O24^2+P24^2)*1000/(1.73*0.4)</f>
        <v>9.7109826589595372</v>
      </c>
      <c r="O24" s="1254">
        <v>6.7200000000000003E-3</v>
      </c>
      <c r="P24" s="1415"/>
      <c r="Q24" s="1227">
        <f>SQRT(R24^2+S24^2)*1000/(1.73*0.4)</f>
        <v>9.294797687861271</v>
      </c>
      <c r="R24" s="1254">
        <v>6.4320000000000002E-3</v>
      </c>
      <c r="S24" s="1415"/>
      <c r="T24" s="1227">
        <f>SQRT(U24^2+V24^2)*1000/(1.73*0.4)</f>
        <v>8.4855491329479769</v>
      </c>
      <c r="U24" s="1254">
        <v>5.8719999999999996E-3</v>
      </c>
      <c r="V24" s="1415"/>
      <c r="W24" s="1227">
        <f>SQRT(X24^2+Y24^2)*1000/(1.73*0.4)</f>
        <v>10.289017341040461</v>
      </c>
      <c r="X24" s="1254">
        <v>7.1200000000000005E-3</v>
      </c>
      <c r="Y24" s="1415"/>
      <c r="Z24" s="1227">
        <f>SQRT(AA24^2+AB24^2)*1000/(1.73*0.4)</f>
        <v>10.265895953757225</v>
      </c>
      <c r="AA24" s="1254">
        <v>7.1040000000000001E-3</v>
      </c>
      <c r="AB24" s="1415"/>
      <c r="AC24" s="1227">
        <f>SQRT(AD24^2+AE24^2)*1000/(1.73*0.4)</f>
        <v>8.4393063583815024</v>
      </c>
      <c r="AD24" s="1254">
        <v>5.8399999999999997E-3</v>
      </c>
      <c r="AE24" s="1415"/>
      <c r="AF24" s="1227">
        <f>SQRT(AG24^2+AH24^2)*1000/(1.73*0.4)</f>
        <v>10.21965317919075</v>
      </c>
      <c r="AG24" s="1254">
        <v>7.0720000000000002E-3</v>
      </c>
      <c r="AH24" s="1415"/>
      <c r="AI24" s="1227">
        <f>SQRT(AJ24^2+AK24^2)*1000/(1.73*0.4)</f>
        <v>10.034682080924854</v>
      </c>
      <c r="AJ24" s="1254">
        <v>6.9439999999999997E-3</v>
      </c>
      <c r="AK24" s="1415"/>
      <c r="AL24" s="1227">
        <f>SQRT(AM24^2+AN24^2)*1000/(1.73*0.4)</f>
        <v>8.8786127167630049</v>
      </c>
      <c r="AM24" s="1254">
        <v>6.1440000000000002E-3</v>
      </c>
      <c r="AN24" s="1415"/>
      <c r="AO24" s="1227">
        <f>SQRT(AP24^2+AQ24^2)*1000/(1.73*0.4)</f>
        <v>10.497109826589595</v>
      </c>
      <c r="AP24" s="1254">
        <v>7.2640000000000005E-3</v>
      </c>
      <c r="AQ24" s="1415"/>
      <c r="AR24" s="1227">
        <f>SQRT(AS24^2+AT24^2)*1000/(1.73*0.4)</f>
        <v>10.38150289017341</v>
      </c>
      <c r="AS24" s="1254">
        <v>7.1840000000000003E-3</v>
      </c>
      <c r="AT24" s="1415"/>
      <c r="AU24" s="1227">
        <f>SQRT(AV24^2+AW24^2)*1000/(1.73*0.4)</f>
        <v>8.7861271676300579</v>
      </c>
      <c r="AV24" s="1254">
        <v>6.0800000000000003E-3</v>
      </c>
      <c r="AW24" s="1415"/>
      <c r="AX24" s="1227">
        <f>SQRT(AY24^2+AZ24^2)*1000/(1.73*0.4)</f>
        <v>10.38150289017341</v>
      </c>
      <c r="AY24" s="1254">
        <v>7.1840000000000003E-3</v>
      </c>
      <c r="AZ24" s="1415"/>
      <c r="BA24" s="1227">
        <f>SQRT(BB24^2+BC24^2)*1000/(1.73*0.4)</f>
        <v>10.38150289017341</v>
      </c>
      <c r="BB24" s="1254">
        <v>7.1840000000000003E-3</v>
      </c>
      <c r="BC24" s="1415"/>
      <c r="BD24" s="1227">
        <f>SQRT(BE24^2+BF24^2)*1000/(1.73*0.4)</f>
        <v>8.8554913294797686</v>
      </c>
      <c r="BE24" s="1254">
        <v>6.1279999999999998E-3</v>
      </c>
      <c r="BF24" s="1415"/>
      <c r="BG24" s="1227">
        <f>SQRT(BH24^2+BI24^2)*1000/(1.73*0.4)</f>
        <v>10.520231213872831</v>
      </c>
      <c r="BH24" s="1254">
        <v>7.28E-3</v>
      </c>
      <c r="BI24" s="1415"/>
      <c r="BJ24" s="1227">
        <f>SQRT(BK24^2+BL24^2)*1000/(1.73*0.4)</f>
        <v>10.450867052023121</v>
      </c>
      <c r="BK24" s="1254">
        <v>7.2320000000000006E-3</v>
      </c>
      <c r="BL24" s="1415"/>
      <c r="BM24" s="1227">
        <f>SQRT(BN24^2+BO24^2)*1000/(1.73*0.4)</f>
        <v>8.6705202312138727</v>
      </c>
      <c r="BN24" s="1254">
        <v>6.0000000000000001E-3</v>
      </c>
      <c r="BO24" s="1415"/>
      <c r="BP24" s="1227">
        <f>SQRT(BQ24^2+BR24^2)*1000/(1.73*0.4)</f>
        <v>9.8265895953757223</v>
      </c>
      <c r="BQ24" s="1254">
        <v>6.7999999999999996E-3</v>
      </c>
      <c r="BR24" s="1415"/>
      <c r="BS24" s="1227">
        <f>SQRT(BT24^2+BU24^2)*1000/(1.73*0.4)</f>
        <v>10.450867052023121</v>
      </c>
      <c r="BT24" s="1254">
        <v>7.2320000000000006E-3</v>
      </c>
      <c r="BU24" s="1415"/>
      <c r="BV24" s="1227">
        <f>SQRT(BW24^2+BX24^2)*1000/(1.73*0.4)</f>
        <v>8.8323699421965305</v>
      </c>
      <c r="BW24" s="1254">
        <v>6.1120000000000002E-3</v>
      </c>
      <c r="BX24" s="1415"/>
      <c r="BY24" s="1227">
        <f>SQRT(BZ24^2+CA24^2)*1000/(1.73*0.4)</f>
        <v>9.7341040462427735</v>
      </c>
      <c r="BZ24" s="1254">
        <v>6.7359999999999998E-3</v>
      </c>
      <c r="CA24" s="1415"/>
      <c r="CB24" s="1383">
        <f>SUM(I24,L24,O24,R24,U24,X24,AA24,AD24,AG24,AJ24,AM24,AP24,AS24,AV24,AY24,BB24,BE24,BH24,BK24,BN24,BQ24,BT24,BW24,BZ24)</f>
        <v>0.15972799999999998</v>
      </c>
      <c r="CC24" s="1079"/>
      <c r="CD24" s="1079"/>
      <c r="CE24" s="1079"/>
      <c r="CF24" s="1079"/>
      <c r="CG24" s="1079"/>
      <c r="CH24" s="1079"/>
      <c r="CI24" s="1079"/>
      <c r="CJ24" s="1079"/>
      <c r="CK24" s="1079"/>
      <c r="CL24" s="1079"/>
      <c r="CM24" s="1079"/>
      <c r="CN24" s="1079"/>
      <c r="CO24" s="1079"/>
      <c r="CP24" s="1079"/>
      <c r="CQ24" s="1079"/>
      <c r="CR24" s="1079"/>
      <c r="CS24" s="1079"/>
      <c r="CT24" s="1079"/>
      <c r="CU24" s="1079"/>
      <c r="CV24" s="1079"/>
      <c r="CW24" s="1079"/>
      <c r="CX24" s="1079"/>
      <c r="CY24" s="1079"/>
      <c r="CZ24" s="1079"/>
      <c r="DA24" s="1079"/>
      <c r="DB24" s="1079"/>
      <c r="DC24" s="1079"/>
      <c r="DD24" s="1079"/>
      <c r="DE24" s="1079"/>
      <c r="DF24" s="1079"/>
      <c r="DG24" s="1079"/>
      <c r="DH24" s="1079"/>
      <c r="DI24" s="1079"/>
      <c r="DJ24" s="1079"/>
      <c r="DK24" s="1079"/>
      <c r="DL24" s="1079"/>
      <c r="DM24" s="1079"/>
      <c r="DN24" s="1079"/>
      <c r="DO24" s="1079"/>
      <c r="DP24" s="1079"/>
      <c r="DQ24" s="1079"/>
      <c r="DR24" s="1079"/>
      <c r="DS24" s="1079"/>
      <c r="DT24" s="1079"/>
      <c r="DU24" s="1079"/>
      <c r="DV24" s="1079"/>
      <c r="DW24" s="1079"/>
      <c r="DX24" s="1079"/>
      <c r="DY24" s="1079"/>
      <c r="DZ24" s="1079"/>
      <c r="EA24" s="1079"/>
      <c r="EB24" s="1079"/>
      <c r="EC24" s="1079"/>
      <c r="ED24" s="1079"/>
      <c r="EE24" s="1079"/>
      <c r="EF24" s="1079"/>
      <c r="EG24" s="1079"/>
      <c r="EH24" s="1079"/>
      <c r="EI24" s="1079"/>
      <c r="EJ24" s="1079"/>
      <c r="EK24" s="1079"/>
      <c r="EL24" s="1079"/>
      <c r="EM24" s="1079"/>
      <c r="EN24" s="1079"/>
      <c r="EO24" s="1079"/>
      <c r="EP24" s="1079"/>
      <c r="EQ24" s="1079"/>
      <c r="ER24" s="1079"/>
      <c r="ES24" s="1079"/>
      <c r="ET24" s="1079"/>
      <c r="EU24" s="1079"/>
      <c r="EV24" s="1079"/>
      <c r="EW24" s="1079"/>
      <c r="EX24" s="1079"/>
      <c r="EY24" s="1079"/>
      <c r="EZ24" s="1079"/>
      <c r="FA24" s="1079"/>
      <c r="FB24" s="1079"/>
      <c r="FC24" s="1079"/>
      <c r="FD24" s="1079"/>
      <c r="FE24" s="1079"/>
      <c r="FF24" s="1079"/>
      <c r="FG24" s="1079"/>
      <c r="FH24" s="1079"/>
      <c r="FI24" s="1079"/>
      <c r="FJ24" s="1079"/>
      <c r="FK24" s="1079"/>
      <c r="FL24" s="1079"/>
      <c r="FM24" s="1079"/>
      <c r="FN24" s="1079"/>
      <c r="FO24" s="1079"/>
      <c r="FP24" s="1079"/>
      <c r="FQ24" s="1079"/>
      <c r="FR24" s="1079"/>
      <c r="FS24" s="1079"/>
      <c r="FT24" s="1079"/>
      <c r="FU24" s="1079"/>
      <c r="FV24" s="1079"/>
      <c r="FW24" s="1079"/>
      <c r="FX24" s="1079"/>
      <c r="FY24" s="1079"/>
      <c r="FZ24" s="1079"/>
      <c r="GA24" s="1079"/>
      <c r="GB24" s="1079"/>
      <c r="GC24" s="1079"/>
      <c r="GD24" s="1079"/>
      <c r="GE24" s="1079"/>
      <c r="GF24" s="1079"/>
      <c r="GG24" s="1079"/>
      <c r="GH24" s="1079"/>
      <c r="GI24" s="1079"/>
      <c r="GJ24" s="1079"/>
      <c r="GK24" s="1079"/>
      <c r="GL24" s="1079"/>
      <c r="GM24" s="1079"/>
      <c r="GN24" s="1079"/>
      <c r="GO24" s="1079"/>
      <c r="GP24" s="1079"/>
      <c r="GQ24" s="1079"/>
      <c r="GR24" s="1079"/>
      <c r="GS24" s="1079"/>
      <c r="GT24" s="1079"/>
      <c r="GU24" s="1079"/>
      <c r="GV24" s="1079"/>
      <c r="GW24" s="1079"/>
      <c r="GX24" s="1079"/>
      <c r="GY24" s="1079"/>
      <c r="GZ24" s="1079"/>
      <c r="HA24" s="1079"/>
      <c r="HB24" s="1079"/>
      <c r="HC24" s="1079"/>
      <c r="HD24" s="1079"/>
      <c r="HE24" s="1079"/>
      <c r="HF24" s="1079"/>
      <c r="HG24" s="1079"/>
      <c r="HH24" s="1079"/>
      <c r="HI24" s="1079"/>
      <c r="HJ24" s="1079"/>
      <c r="HK24" s="1079"/>
      <c r="HL24" s="1079"/>
      <c r="HM24" s="1079"/>
      <c r="HN24" s="1079"/>
      <c r="HO24" s="1079"/>
      <c r="HP24" s="1079"/>
      <c r="HQ24" s="1079"/>
      <c r="HR24" s="1079"/>
      <c r="HS24" s="1079"/>
      <c r="HT24" s="1079"/>
      <c r="HU24" s="1079"/>
      <c r="HV24" s="1079"/>
      <c r="HW24" s="1079"/>
      <c r="HX24" s="1079"/>
      <c r="HY24" s="1079"/>
      <c r="HZ24" s="1079"/>
      <c r="IA24" s="1079"/>
      <c r="IB24" s="1079"/>
      <c r="IC24" s="1079"/>
      <c r="ID24" s="1079"/>
      <c r="IE24" s="1079"/>
      <c r="IF24" s="1079"/>
      <c r="IG24" s="1079"/>
      <c r="IH24" s="1079"/>
      <c r="II24" s="1079"/>
      <c r="IJ24" s="1079"/>
      <c r="IK24" s="1079"/>
      <c r="IL24" s="1079"/>
      <c r="IM24" s="1079"/>
      <c r="IN24" s="1079"/>
      <c r="IO24" s="1079"/>
      <c r="IP24" s="1079"/>
      <c r="IQ24" s="1079"/>
      <c r="IR24" s="1079"/>
      <c r="IS24" s="1079"/>
      <c r="IT24" s="1079"/>
      <c r="IU24" s="1079"/>
      <c r="IV24" s="1079"/>
    </row>
    <row r="25" spans="1:256" ht="13.5" thickBot="1" x14ac:dyDescent="0.25">
      <c r="A25" s="2428" t="s">
        <v>183</v>
      </c>
      <c r="B25" s="2429"/>
      <c r="C25" s="1183">
        <v>6.3E-2</v>
      </c>
      <c r="D25" s="2428" t="s">
        <v>13</v>
      </c>
      <c r="E25" s="2429"/>
      <c r="F25" s="1195" t="s">
        <v>82</v>
      </c>
      <c r="G25" s="1207"/>
      <c r="H25" s="1227">
        <f>SQRT(I25^2+J25^2)*1000/(1.73*0.4)</f>
        <v>1.0173410404624277</v>
      </c>
      <c r="I25" s="1254">
        <v>7.0399999999999998E-4</v>
      </c>
      <c r="J25" s="1415"/>
      <c r="K25" s="1227">
        <f>SQRT(L25^2+M25^2)*1000/(1.73*0.4)</f>
        <v>1.6184971098265897</v>
      </c>
      <c r="L25" s="1254">
        <v>1.1200000000000001E-3</v>
      </c>
      <c r="M25" s="1415"/>
      <c r="N25" s="1227">
        <f>SQRT(O25^2+P25^2)*1000/(1.73*0.4)</f>
        <v>1.0404624277456647</v>
      </c>
      <c r="O25" s="1254">
        <v>7.1999999999999994E-4</v>
      </c>
      <c r="P25" s="1415"/>
      <c r="Q25" s="1227">
        <f>SQRT(R25^2+S25^2)*1000/(1.73*0.4)</f>
        <v>1.0867052023121386</v>
      </c>
      <c r="R25" s="1254">
        <v>7.5199999999999996E-4</v>
      </c>
      <c r="S25" s="1415"/>
      <c r="T25" s="1227">
        <f>SQRT(U25^2+V25^2)*1000/(1.73*0.4)</f>
        <v>1.3410404624277454</v>
      </c>
      <c r="U25" s="1254">
        <v>9.279999999999999E-4</v>
      </c>
      <c r="V25" s="1415"/>
      <c r="W25" s="1227">
        <f>SQRT(X25^2+Y25^2)*1000/(1.73*0.4)</f>
        <v>0.8554913294797688</v>
      </c>
      <c r="X25" s="1254">
        <v>5.9200000000000008E-4</v>
      </c>
      <c r="Y25" s="1415"/>
      <c r="Z25" s="1227">
        <f>SQRT(AA25^2+AB25^2)*1000/(1.73*0.4)</f>
        <v>1.6647398843930636</v>
      </c>
      <c r="AA25" s="1254">
        <v>1.152E-3</v>
      </c>
      <c r="AB25" s="1415"/>
      <c r="AC25" s="1227">
        <f>SQRT(AD25^2+AE25^2)*1000/(1.73*0.4)</f>
        <v>1.0404624277456647</v>
      </c>
      <c r="AD25" s="1254">
        <v>7.1999999999999994E-4</v>
      </c>
      <c r="AE25" s="1415"/>
      <c r="AF25" s="1227">
        <f>SQRT(AG25^2+AH25^2)*1000/(1.73*0.4)</f>
        <v>1.6647398843930636</v>
      </c>
      <c r="AG25" s="1254">
        <v>1.152E-3</v>
      </c>
      <c r="AH25" s="1415"/>
      <c r="AI25" s="1227">
        <f>SQRT(AJ25^2+AK25^2)*1000/(1.73*0.4)</f>
        <v>1.0404624277456647</v>
      </c>
      <c r="AJ25" s="1254">
        <v>7.1999999999999994E-4</v>
      </c>
      <c r="AK25" s="1415"/>
      <c r="AL25" s="1227">
        <f>SQRT(AM25^2+AN25^2)*1000/(1.73*0.4)</f>
        <v>1.7803468208092483</v>
      </c>
      <c r="AM25" s="1254">
        <v>1.232E-3</v>
      </c>
      <c r="AN25" s="1415"/>
      <c r="AO25" s="1227">
        <f>SQRT(AP25^2+AQ25^2)*1000/(1.73*0.4)</f>
        <v>1.2023121387283238</v>
      </c>
      <c r="AP25" s="1254">
        <v>8.3200000000000006E-4</v>
      </c>
      <c r="AQ25" s="1415"/>
      <c r="AR25" s="1227">
        <f>SQRT(AS25^2+AT25^2)*1000/(1.73*0.4)</f>
        <v>1.4566473988439306</v>
      </c>
      <c r="AS25" s="1254">
        <v>1.008E-3</v>
      </c>
      <c r="AT25" s="1415"/>
      <c r="AU25" s="1227">
        <f>SQRT(AV25^2+AW25^2)*1000/(1.73*0.4)</f>
        <v>1.6416184971098267</v>
      </c>
      <c r="AV25" s="1254">
        <v>1.1360000000000001E-3</v>
      </c>
      <c r="AW25" s="1415"/>
      <c r="AX25" s="1227">
        <f>SQRT(AY25^2+AZ25^2)*1000/(1.73*0.4)</f>
        <v>1.1560693641618496</v>
      </c>
      <c r="AY25" s="1254">
        <v>8.0000000000000004E-4</v>
      </c>
      <c r="AZ25" s="1415"/>
      <c r="BA25" s="1227">
        <f>SQRT(BB25^2+BC25^2)*1000/(1.73*0.4)</f>
        <v>1.6184971098265897</v>
      </c>
      <c r="BB25" s="1254">
        <v>1.1200000000000001E-3</v>
      </c>
      <c r="BC25" s="1415"/>
      <c r="BD25" s="1227">
        <f>SQRT(BE25^2+BF25^2)*1000/(1.73*0.4)</f>
        <v>1.2023121387283238</v>
      </c>
      <c r="BE25" s="1254">
        <v>8.3200000000000006E-4</v>
      </c>
      <c r="BF25" s="1415"/>
      <c r="BG25" s="1227">
        <f>SQRT(BH25^2+BI25^2)*1000/(1.73*0.4)</f>
        <v>1.5953757225433527</v>
      </c>
      <c r="BH25" s="1254">
        <v>1.1040000000000002E-3</v>
      </c>
      <c r="BI25" s="1415"/>
      <c r="BJ25" s="1227">
        <f>SQRT(BK25^2+BL25^2)*1000/(1.73*0.4)</f>
        <v>1.6416184971098267</v>
      </c>
      <c r="BK25" s="1254">
        <v>1.1360000000000001E-3</v>
      </c>
      <c r="BL25" s="1415"/>
      <c r="BM25" s="1227">
        <f>SQRT(BN25^2+BO25^2)*1000/(1.73*0.4)</f>
        <v>1.0635838150289016</v>
      </c>
      <c r="BN25" s="1254">
        <v>7.36E-4</v>
      </c>
      <c r="BO25" s="1415"/>
      <c r="BP25" s="1227">
        <f>SQRT(BQ25^2+BR25^2)*1000/(1.73*0.4)</f>
        <v>1.7572254335260118</v>
      </c>
      <c r="BQ25" s="1254">
        <v>1.2160000000000003E-3</v>
      </c>
      <c r="BR25" s="1415"/>
      <c r="BS25" s="1227">
        <f>SQRT(BT25^2+BU25^2)*1000/(1.73*0.4)</f>
        <v>1.0635838150289016</v>
      </c>
      <c r="BT25" s="1254">
        <v>7.36E-4</v>
      </c>
      <c r="BU25" s="1415"/>
      <c r="BV25" s="1227">
        <f>SQRT(BW25^2+BX25^2)*1000/(1.73*0.4)</f>
        <v>1.6878612716763006</v>
      </c>
      <c r="BW25" s="1254">
        <v>1.1680000000000002E-3</v>
      </c>
      <c r="BX25" s="1415"/>
      <c r="BY25" s="1227">
        <f>SQRT(BZ25^2+CA25^2)*1000/(1.73*0.4)</f>
        <v>1.1329479768786126</v>
      </c>
      <c r="BZ25" s="1254">
        <v>7.8400000000000008E-4</v>
      </c>
      <c r="CA25" s="1415"/>
      <c r="CB25" s="1383">
        <f>SUM(I25,L25,O25,R25,U25,X25,AA25,AD25,AG25,AJ25,AM25,AP25,AS25,AV25,AY25,BB25,BE25,BH25,BK25,BN25,BQ25,BT25,BW25,BZ25)</f>
        <v>2.2400000000000003E-2</v>
      </c>
      <c r="CC25" s="1079"/>
      <c r="CD25" s="1079"/>
      <c r="CE25" s="1079"/>
      <c r="CF25" s="1079"/>
      <c r="CG25" s="1079"/>
      <c r="CH25" s="1079"/>
      <c r="CI25" s="1079"/>
      <c r="CJ25" s="1079"/>
      <c r="CK25" s="1079"/>
      <c r="CL25" s="1079"/>
      <c r="CM25" s="1079"/>
      <c r="CN25" s="1079"/>
      <c r="CO25" s="1079"/>
      <c r="CP25" s="1079"/>
      <c r="CQ25" s="1079"/>
      <c r="CR25" s="1079"/>
      <c r="CS25" s="1079"/>
      <c r="CT25" s="1079"/>
      <c r="CU25" s="1079"/>
      <c r="CV25" s="1079"/>
      <c r="CW25" s="1079"/>
      <c r="CX25" s="1079"/>
      <c r="CY25" s="1079"/>
      <c r="CZ25" s="1079"/>
      <c r="DA25" s="1079"/>
      <c r="DB25" s="1079"/>
      <c r="DC25" s="1079"/>
      <c r="DD25" s="1079"/>
      <c r="DE25" s="1079"/>
      <c r="DF25" s="1079"/>
      <c r="DG25" s="1079"/>
      <c r="DH25" s="1079"/>
      <c r="DI25" s="1079"/>
      <c r="DJ25" s="1079"/>
      <c r="DK25" s="1079"/>
      <c r="DL25" s="1079"/>
      <c r="DM25" s="1079"/>
      <c r="DN25" s="1079"/>
      <c r="DO25" s="1079"/>
      <c r="DP25" s="1079"/>
      <c r="DQ25" s="1079"/>
      <c r="DR25" s="1079"/>
      <c r="DS25" s="1079"/>
      <c r="DT25" s="1079"/>
      <c r="DU25" s="1079"/>
      <c r="DV25" s="1079"/>
      <c r="DW25" s="1079"/>
      <c r="DX25" s="1079"/>
      <c r="DY25" s="1079"/>
      <c r="DZ25" s="1079"/>
      <c r="EA25" s="1079"/>
      <c r="EB25" s="1079"/>
      <c r="EC25" s="1079"/>
      <c r="ED25" s="1079"/>
      <c r="EE25" s="1079"/>
      <c r="EF25" s="1079"/>
      <c r="EG25" s="1079"/>
      <c r="EH25" s="1079"/>
      <c r="EI25" s="1079"/>
      <c r="EJ25" s="1079"/>
      <c r="EK25" s="1079"/>
      <c r="EL25" s="1079"/>
      <c r="EM25" s="1079"/>
      <c r="EN25" s="1079"/>
      <c r="EO25" s="1079"/>
      <c r="EP25" s="1079"/>
      <c r="EQ25" s="1079"/>
      <c r="ER25" s="1079"/>
      <c r="ES25" s="1079"/>
      <c r="ET25" s="1079"/>
      <c r="EU25" s="1079"/>
      <c r="EV25" s="1079"/>
      <c r="EW25" s="1079"/>
      <c r="EX25" s="1079"/>
      <c r="EY25" s="1079"/>
      <c r="EZ25" s="1079"/>
      <c r="FA25" s="1079"/>
      <c r="FB25" s="1079"/>
      <c r="FC25" s="1079"/>
      <c r="FD25" s="1079"/>
      <c r="FE25" s="1079"/>
      <c r="FF25" s="1079"/>
      <c r="FG25" s="1079"/>
      <c r="FH25" s="1079"/>
      <c r="FI25" s="1079"/>
      <c r="FJ25" s="1079"/>
      <c r="FK25" s="1079"/>
      <c r="FL25" s="1079"/>
      <c r="FM25" s="1079"/>
      <c r="FN25" s="1079"/>
      <c r="FO25" s="1079"/>
      <c r="FP25" s="1079"/>
      <c r="FQ25" s="1079"/>
      <c r="FR25" s="1079"/>
      <c r="FS25" s="1079"/>
      <c r="FT25" s="1079"/>
      <c r="FU25" s="1079"/>
      <c r="FV25" s="1079"/>
      <c r="FW25" s="1079"/>
      <c r="FX25" s="1079"/>
      <c r="FY25" s="1079"/>
      <c r="FZ25" s="1079"/>
      <c r="GA25" s="1079"/>
      <c r="GB25" s="1079"/>
      <c r="GC25" s="1079"/>
      <c r="GD25" s="1079"/>
      <c r="GE25" s="1079"/>
      <c r="GF25" s="1079"/>
      <c r="GG25" s="1079"/>
      <c r="GH25" s="1079"/>
      <c r="GI25" s="1079"/>
      <c r="GJ25" s="1079"/>
      <c r="GK25" s="1079"/>
      <c r="GL25" s="1079"/>
      <c r="GM25" s="1079"/>
      <c r="GN25" s="1079"/>
      <c r="GO25" s="1079"/>
      <c r="GP25" s="1079"/>
      <c r="GQ25" s="1079"/>
      <c r="GR25" s="1079"/>
      <c r="GS25" s="1079"/>
      <c r="GT25" s="1079"/>
      <c r="GU25" s="1079"/>
      <c r="GV25" s="1079"/>
      <c r="GW25" s="1079"/>
      <c r="GX25" s="1079"/>
      <c r="GY25" s="1079"/>
      <c r="GZ25" s="1079"/>
      <c r="HA25" s="1079"/>
      <c r="HB25" s="1079"/>
      <c r="HC25" s="1079"/>
      <c r="HD25" s="1079"/>
      <c r="HE25" s="1079"/>
      <c r="HF25" s="1079"/>
      <c r="HG25" s="1079"/>
      <c r="HH25" s="1079"/>
      <c r="HI25" s="1079"/>
      <c r="HJ25" s="1079"/>
      <c r="HK25" s="1079"/>
      <c r="HL25" s="1079"/>
      <c r="HM25" s="1079"/>
      <c r="HN25" s="1079"/>
      <c r="HO25" s="1079"/>
      <c r="HP25" s="1079"/>
      <c r="HQ25" s="1079"/>
      <c r="HR25" s="1079"/>
      <c r="HS25" s="1079"/>
      <c r="HT25" s="1079"/>
      <c r="HU25" s="1079"/>
      <c r="HV25" s="1079"/>
      <c r="HW25" s="1079"/>
      <c r="HX25" s="1079"/>
      <c r="HY25" s="1079"/>
      <c r="HZ25" s="1079"/>
      <c r="IA25" s="1079"/>
      <c r="IB25" s="1079"/>
      <c r="IC25" s="1079"/>
      <c r="ID25" s="1079"/>
      <c r="IE25" s="1079"/>
      <c r="IF25" s="1079"/>
      <c r="IG25" s="1079"/>
      <c r="IH25" s="1079"/>
      <c r="II25" s="1079"/>
      <c r="IJ25" s="1079"/>
      <c r="IK25" s="1079"/>
      <c r="IL25" s="1079"/>
      <c r="IM25" s="1079"/>
      <c r="IN25" s="1079"/>
      <c r="IO25" s="1079"/>
      <c r="IP25" s="1079"/>
      <c r="IQ25" s="1079"/>
      <c r="IR25" s="1079"/>
      <c r="IS25" s="1079"/>
      <c r="IT25" s="1079"/>
      <c r="IU25" s="1079"/>
      <c r="IV25" s="1079"/>
    </row>
    <row r="26" spans="1:256" x14ac:dyDescent="0.2">
      <c r="A26" s="1124"/>
      <c r="B26" s="1125"/>
      <c r="C26" s="1125"/>
      <c r="D26" s="1124"/>
      <c r="E26" s="1125"/>
      <c r="F26" s="1190" t="s">
        <v>33</v>
      </c>
      <c r="G26" s="1191"/>
      <c r="H26" s="1127">
        <f t="shared" ref="H26:BS26" si="0">H8+H16</f>
        <v>60.239656245687726</v>
      </c>
      <c r="I26" s="1128">
        <f>I8+I16</f>
        <v>12.124200000000002</v>
      </c>
      <c r="J26" s="1461">
        <f t="shared" si="0"/>
        <v>1.2869999999999999</v>
      </c>
      <c r="K26" s="1127">
        <f t="shared" si="0"/>
        <v>56.628770238682399</v>
      </c>
      <c r="L26" s="1128">
        <f t="shared" si="0"/>
        <v>11.3916</v>
      </c>
      <c r="M26" s="1461">
        <f t="shared" si="0"/>
        <v>1.2606000000000002</v>
      </c>
      <c r="N26" s="1127">
        <f t="shared" si="0"/>
        <v>54.697168664739209</v>
      </c>
      <c r="O26" s="1128">
        <f t="shared" si="0"/>
        <v>11.0022</v>
      </c>
      <c r="P26" s="1461">
        <f t="shared" si="0"/>
        <v>1.2275999999999998</v>
      </c>
      <c r="Q26" s="1127">
        <f t="shared" si="0"/>
        <v>53.513406671943471</v>
      </c>
      <c r="R26" s="1128">
        <f t="shared" si="0"/>
        <v>10.764599999999998</v>
      </c>
      <c r="S26" s="1461">
        <f t="shared" si="0"/>
        <v>1.1945999999999999</v>
      </c>
      <c r="T26" s="1127">
        <f t="shared" si="0"/>
        <v>53.581515513391665</v>
      </c>
      <c r="U26" s="1128">
        <f t="shared" si="0"/>
        <v>10.777799999999999</v>
      </c>
      <c r="V26" s="1461">
        <f t="shared" si="0"/>
        <v>1.2012</v>
      </c>
      <c r="W26" s="1127">
        <f t="shared" si="0"/>
        <v>55.590595116853592</v>
      </c>
      <c r="X26" s="1128">
        <f t="shared" si="0"/>
        <v>11.187000000000001</v>
      </c>
      <c r="Y26" s="1461">
        <f t="shared" si="0"/>
        <v>1.2011999999999998</v>
      </c>
      <c r="Z26" s="1127">
        <f t="shared" si="0"/>
        <v>63.387207999894741</v>
      </c>
      <c r="AA26" s="1128">
        <f t="shared" si="0"/>
        <v>12.7644</v>
      </c>
      <c r="AB26" s="1461">
        <f t="shared" si="0"/>
        <v>1.2935999999999999</v>
      </c>
      <c r="AC26" s="1127">
        <f t="shared" si="0"/>
        <v>71.452729316570213</v>
      </c>
      <c r="AD26" s="1128">
        <f t="shared" si="0"/>
        <v>14.387999999999998</v>
      </c>
      <c r="AE26" s="1461">
        <f t="shared" si="0"/>
        <v>1.4651999999999998</v>
      </c>
      <c r="AF26" s="1127">
        <f t="shared" si="0"/>
        <v>73.185126605873222</v>
      </c>
      <c r="AG26" s="1128">
        <f t="shared" si="0"/>
        <v>14.7378</v>
      </c>
      <c r="AH26" s="1461">
        <f t="shared" si="0"/>
        <v>1.4916</v>
      </c>
      <c r="AI26" s="1127">
        <f t="shared" si="0"/>
        <v>72.491618931026224</v>
      </c>
      <c r="AJ26" s="1128">
        <f t="shared" si="0"/>
        <v>14.592600000000001</v>
      </c>
      <c r="AK26" s="1461">
        <f t="shared" si="0"/>
        <v>1.5312000000000001</v>
      </c>
      <c r="AL26" s="1127">
        <f t="shared" si="0"/>
        <v>73.447266007280319</v>
      </c>
      <c r="AM26" s="1128">
        <f t="shared" si="0"/>
        <v>14.783999999999999</v>
      </c>
      <c r="AN26" s="1461">
        <f t="shared" si="0"/>
        <v>1.5575999999999999</v>
      </c>
      <c r="AO26" s="1127">
        <f t="shared" si="0"/>
        <v>73.526889253853085</v>
      </c>
      <c r="AP26" s="1128">
        <f t="shared" si="0"/>
        <v>14.7972</v>
      </c>
      <c r="AQ26" s="1461">
        <f t="shared" si="0"/>
        <v>1.5906000000000002</v>
      </c>
      <c r="AR26" s="1127">
        <f t="shared" si="0"/>
        <v>74.241391631623941</v>
      </c>
      <c r="AS26" s="1128">
        <f t="shared" si="0"/>
        <v>14.942399999999999</v>
      </c>
      <c r="AT26" s="1461">
        <f t="shared" si="0"/>
        <v>1.5906</v>
      </c>
      <c r="AU26" s="1127">
        <f t="shared" si="0"/>
        <v>73.463847284773635</v>
      </c>
      <c r="AV26" s="1128">
        <f t="shared" si="0"/>
        <v>14.783999999999999</v>
      </c>
      <c r="AW26" s="1461">
        <f t="shared" si="0"/>
        <v>1.5905999999999998</v>
      </c>
      <c r="AX26" s="1127">
        <f t="shared" si="0"/>
        <v>72.87732859713077</v>
      </c>
      <c r="AY26" s="1128">
        <f t="shared" si="0"/>
        <v>14.665199999999999</v>
      </c>
      <c r="AZ26" s="1461">
        <f t="shared" si="0"/>
        <v>1.5840000000000001</v>
      </c>
      <c r="BA26" s="1127">
        <f t="shared" si="0"/>
        <v>76.020201107056494</v>
      </c>
      <c r="BB26" s="1128">
        <f t="shared" si="0"/>
        <v>15.2988</v>
      </c>
      <c r="BC26" s="1461">
        <f t="shared" si="0"/>
        <v>1.6434000000000002</v>
      </c>
      <c r="BD26" s="1127">
        <f t="shared" si="0"/>
        <v>78.445434065003695</v>
      </c>
      <c r="BE26" s="1128">
        <f t="shared" si="0"/>
        <v>15.793800000000001</v>
      </c>
      <c r="BF26" s="1461">
        <f t="shared" si="0"/>
        <v>1.6301999999999999</v>
      </c>
      <c r="BG26" s="1127">
        <f t="shared" si="0"/>
        <v>79.044329998231134</v>
      </c>
      <c r="BH26" s="1128">
        <f t="shared" si="0"/>
        <v>15.9192</v>
      </c>
      <c r="BI26" s="1461">
        <f t="shared" si="0"/>
        <v>1.5972</v>
      </c>
      <c r="BJ26" s="1127">
        <f t="shared" si="0"/>
        <v>80.439130140704407</v>
      </c>
      <c r="BK26" s="1128">
        <f t="shared" si="0"/>
        <v>16.196400000000001</v>
      </c>
      <c r="BL26" s="1461">
        <f t="shared" si="0"/>
        <v>1.6632000000000002</v>
      </c>
      <c r="BM26" s="1127">
        <f t="shared" si="0"/>
        <v>80.679205103139381</v>
      </c>
      <c r="BN26" s="1128">
        <f t="shared" si="0"/>
        <v>16.242599999999999</v>
      </c>
      <c r="BO26" s="1461">
        <f t="shared" si="0"/>
        <v>1.6896</v>
      </c>
      <c r="BP26" s="1127">
        <f t="shared" si="0"/>
        <v>79.45022049936702</v>
      </c>
      <c r="BQ26" s="1128">
        <f t="shared" si="0"/>
        <v>15.991800000000001</v>
      </c>
      <c r="BR26" s="1461">
        <f t="shared" si="0"/>
        <v>1.6961999999999999</v>
      </c>
      <c r="BS26" s="1127">
        <f t="shared" si="0"/>
        <v>76.724489818367971</v>
      </c>
      <c r="BT26" s="1128">
        <f t="shared" ref="BT26:BV26" si="1">BT8+BT16</f>
        <v>15.443999999999999</v>
      </c>
      <c r="BU26" s="1461">
        <f t="shared" si="1"/>
        <v>1.6301999999999999</v>
      </c>
      <c r="BV26" s="1127">
        <f t="shared" si="1"/>
        <v>72.084839342083939</v>
      </c>
      <c r="BW26" s="1128">
        <f>BW8+BW16</f>
        <v>14.513399999999999</v>
      </c>
      <c r="BX26" s="1461">
        <f>BX8+BX16</f>
        <v>1.4982</v>
      </c>
      <c r="BY26" s="1127">
        <f>BY8+BY16</f>
        <v>66.196756997984636</v>
      </c>
      <c r="BZ26" s="1128">
        <f>BZ8+BZ16</f>
        <v>13.325399999999998</v>
      </c>
      <c r="CA26" s="1461">
        <f>CA8+CA16</f>
        <v>1.3992</v>
      </c>
    </row>
    <row r="27" spans="1:256" x14ac:dyDescent="0.2">
      <c r="A27" s="1132"/>
      <c r="B27" s="1079" t="s">
        <v>35</v>
      </c>
      <c r="C27" s="1079"/>
      <c r="D27" s="1132"/>
      <c r="E27" s="1079"/>
      <c r="F27" s="1133" t="s">
        <v>36</v>
      </c>
      <c r="G27" s="1134"/>
      <c r="H27" s="1135"/>
      <c r="I27" s="1136"/>
      <c r="J27" s="1439"/>
      <c r="K27" s="1135"/>
      <c r="L27" s="1136"/>
      <c r="M27" s="1439"/>
      <c r="N27" s="1135"/>
      <c r="O27" s="1136"/>
      <c r="P27" s="1439"/>
      <c r="Q27" s="1135"/>
      <c r="R27" s="1136"/>
      <c r="S27" s="1439"/>
      <c r="T27" s="1135"/>
      <c r="U27" s="1136"/>
      <c r="V27" s="1439"/>
      <c r="W27" s="1135"/>
      <c r="X27" s="1136"/>
      <c r="Y27" s="1439"/>
      <c r="Z27" s="1135"/>
      <c r="AA27" s="1136"/>
      <c r="AB27" s="1439"/>
      <c r="AC27" s="1135"/>
      <c r="AD27" s="1136"/>
      <c r="AE27" s="1439"/>
      <c r="AF27" s="1135"/>
      <c r="AG27" s="1136"/>
      <c r="AH27" s="1439"/>
      <c r="AI27" s="1135"/>
      <c r="AJ27" s="1136"/>
      <c r="AK27" s="1439"/>
      <c r="AL27" s="1135"/>
      <c r="AM27" s="1136"/>
      <c r="AN27" s="1439"/>
      <c r="AO27" s="1135"/>
      <c r="AP27" s="1136"/>
      <c r="AQ27" s="1439"/>
      <c r="AR27" s="1135"/>
      <c r="AS27" s="1136"/>
      <c r="AT27" s="1439"/>
      <c r="AU27" s="1135"/>
      <c r="AV27" s="1136"/>
      <c r="AW27" s="1439"/>
      <c r="AX27" s="1135"/>
      <c r="AY27" s="1136"/>
      <c r="AZ27" s="1439"/>
      <c r="BA27" s="1135"/>
      <c r="BB27" s="1136"/>
      <c r="BC27" s="1439"/>
      <c r="BD27" s="1135"/>
      <c r="BE27" s="1136"/>
      <c r="BF27" s="1439"/>
      <c r="BG27" s="1135"/>
      <c r="BH27" s="1136"/>
      <c r="BI27" s="1439"/>
      <c r="BJ27" s="1135"/>
      <c r="BK27" s="1136"/>
      <c r="BL27" s="1439"/>
      <c r="BM27" s="1135"/>
      <c r="BN27" s="1136"/>
      <c r="BO27" s="1439"/>
      <c r="BP27" s="1135"/>
      <c r="BQ27" s="1136"/>
      <c r="BR27" s="1439"/>
      <c r="BS27" s="1135"/>
      <c r="BT27" s="1136"/>
      <c r="BU27" s="1439"/>
      <c r="BV27" s="1135"/>
      <c r="BW27" s="1136"/>
      <c r="BX27" s="1439"/>
      <c r="BY27" s="1135"/>
      <c r="BZ27" s="1136"/>
      <c r="CA27" s="1439"/>
    </row>
    <row r="28" spans="1:256" ht="13.5" thickBot="1" x14ac:dyDescent="0.25">
      <c r="A28" s="1132"/>
      <c r="B28" s="1079"/>
      <c r="C28" s="1079"/>
      <c r="D28" s="1132"/>
      <c r="E28" s="1079"/>
      <c r="F28" s="1132" t="s">
        <v>34</v>
      </c>
      <c r="G28" s="1131"/>
      <c r="H28" s="1462">
        <f t="shared" ref="H28:BS28" si="2">H10+H18</f>
        <v>666.03013751522644</v>
      </c>
      <c r="I28" s="1463">
        <f t="shared" si="2"/>
        <v>11.969999999999999</v>
      </c>
      <c r="J28" s="1464">
        <f t="shared" si="2"/>
        <v>0.30599999999999999</v>
      </c>
      <c r="K28" s="1462">
        <f t="shared" si="2"/>
        <v>625.71641307349557</v>
      </c>
      <c r="L28" s="1463">
        <f t="shared" si="2"/>
        <v>11.238</v>
      </c>
      <c r="M28" s="1464">
        <f t="shared" si="2"/>
        <v>0.378</v>
      </c>
      <c r="N28" s="1462">
        <f t="shared" si="2"/>
        <v>604.39896410924007</v>
      </c>
      <c r="O28" s="1463">
        <f t="shared" si="2"/>
        <v>10.856999999999999</v>
      </c>
      <c r="P28" s="1464">
        <f t="shared" si="2"/>
        <v>0.34199999999999997</v>
      </c>
      <c r="Q28" s="1462">
        <f t="shared" si="2"/>
        <v>591.14267090415478</v>
      </c>
      <c r="R28" s="1463">
        <f t="shared" si="2"/>
        <v>10.620000000000001</v>
      </c>
      <c r="S28" s="1464">
        <f t="shared" si="2"/>
        <v>0.309</v>
      </c>
      <c r="T28" s="1462">
        <f t="shared" si="2"/>
        <v>591.95563784443425</v>
      </c>
      <c r="U28" s="1463">
        <f t="shared" si="2"/>
        <v>10.632</v>
      </c>
      <c r="V28" s="1464">
        <f t="shared" si="2"/>
        <v>0.34799999999999998</v>
      </c>
      <c r="W28" s="1462">
        <f t="shared" si="2"/>
        <v>614.40197356041222</v>
      </c>
      <c r="X28" s="1463">
        <f t="shared" si="2"/>
        <v>11.04</v>
      </c>
      <c r="Y28" s="1464">
        <f t="shared" si="2"/>
        <v>0.30599999999999999</v>
      </c>
      <c r="Z28" s="1462">
        <f t="shared" si="2"/>
        <v>700.18661327154859</v>
      </c>
      <c r="AA28" s="1463">
        <f t="shared" si="2"/>
        <v>12.593999999999999</v>
      </c>
      <c r="AB28" s="1464">
        <f t="shared" si="2"/>
        <v>0.126</v>
      </c>
      <c r="AC28" s="1462">
        <f t="shared" si="2"/>
        <v>790.38072197265637</v>
      </c>
      <c r="AD28" s="1463">
        <f t="shared" si="2"/>
        <v>14.217000000000001</v>
      </c>
      <c r="AE28" s="1464">
        <f t="shared" si="2"/>
        <v>0.10800000000000001</v>
      </c>
      <c r="AF28" s="1462">
        <f t="shared" si="2"/>
        <v>808.84904789281791</v>
      </c>
      <c r="AG28" s="1463">
        <f t="shared" si="2"/>
        <v>14.55</v>
      </c>
      <c r="AH28" s="1464">
        <f t="shared" si="2"/>
        <v>8.3999999999999991E-2</v>
      </c>
      <c r="AI28" s="1462">
        <f t="shared" si="2"/>
        <v>801.88118957251277</v>
      </c>
      <c r="AJ28" s="1463">
        <f t="shared" si="2"/>
        <v>14.420999999999999</v>
      </c>
      <c r="AK28" s="1464">
        <f t="shared" si="2"/>
        <v>0.22499999999999998</v>
      </c>
      <c r="AL28" s="1462">
        <f t="shared" si="2"/>
        <v>812.16013017855471</v>
      </c>
      <c r="AM28" s="1463">
        <f t="shared" si="2"/>
        <v>14.603999999999999</v>
      </c>
      <c r="AN28" s="1464">
        <f t="shared" si="2"/>
        <v>0.249</v>
      </c>
      <c r="AO28" s="1462">
        <f t="shared" si="2"/>
        <v>812.38551603311544</v>
      </c>
      <c r="AP28" s="1463">
        <f t="shared" si="2"/>
        <v>14.606999999999999</v>
      </c>
      <c r="AQ28" s="1464">
        <f t="shared" si="2"/>
        <v>0.36599999999999999</v>
      </c>
      <c r="AR28" s="1462">
        <f t="shared" si="2"/>
        <v>821.05870809151327</v>
      </c>
      <c r="AS28" s="1463">
        <f t="shared" si="2"/>
        <v>14.76</v>
      </c>
      <c r="AT28" s="1464">
        <f t="shared" si="2"/>
        <v>0.34200000000000003</v>
      </c>
      <c r="AU28" s="1462">
        <f t="shared" si="2"/>
        <v>812.451630398097</v>
      </c>
      <c r="AV28" s="1463">
        <f t="shared" si="2"/>
        <v>14.603999999999999</v>
      </c>
      <c r="AW28" s="1464">
        <f t="shared" si="2"/>
        <v>0.35099999999999998</v>
      </c>
      <c r="AX28" s="1462">
        <f t="shared" si="2"/>
        <v>805.70623170740475</v>
      </c>
      <c r="AY28" s="1463">
        <f t="shared" si="2"/>
        <v>14.481</v>
      </c>
      <c r="AZ28" s="1464">
        <f t="shared" si="2"/>
        <v>0.372</v>
      </c>
      <c r="BA28" s="1462">
        <f t="shared" si="2"/>
        <v>840.43640783728665</v>
      </c>
      <c r="BB28" s="1463">
        <f t="shared" si="2"/>
        <v>15.108000000000001</v>
      </c>
      <c r="BC28" s="1464">
        <f t="shared" si="2"/>
        <v>0.32399999999999995</v>
      </c>
      <c r="BD28" s="1462">
        <f t="shared" si="2"/>
        <v>867.51389375426584</v>
      </c>
      <c r="BE28" s="1463">
        <f t="shared" si="2"/>
        <v>15.6</v>
      </c>
      <c r="BF28" s="1464">
        <f t="shared" si="2"/>
        <v>0.23400000000000001</v>
      </c>
      <c r="BG28" s="1462">
        <f t="shared" si="2"/>
        <v>874.01544596548877</v>
      </c>
      <c r="BH28" s="1463">
        <f t="shared" si="2"/>
        <v>15.722999999999999</v>
      </c>
      <c r="BI28" s="1464">
        <f t="shared" si="2"/>
        <v>6.3E-2</v>
      </c>
      <c r="BJ28" s="1462">
        <f t="shared" si="2"/>
        <v>889.81183879565106</v>
      </c>
      <c r="BK28" s="1463">
        <f t="shared" si="2"/>
        <v>16.004999999999999</v>
      </c>
      <c r="BL28" s="1464">
        <f t="shared" si="2"/>
        <v>0.16499999999999998</v>
      </c>
      <c r="BM28" s="1462">
        <f t="shared" si="2"/>
        <v>892.29856236961257</v>
      </c>
      <c r="BN28" s="1463">
        <f t="shared" si="2"/>
        <v>16.053000000000001</v>
      </c>
      <c r="BO28" s="1464">
        <f t="shared" si="2"/>
        <v>3.6000000000000004E-2</v>
      </c>
      <c r="BP28" s="1462">
        <f t="shared" si="2"/>
        <v>878.45353406948107</v>
      </c>
      <c r="BQ28" s="1463">
        <f t="shared" si="2"/>
        <v>15.800999999999998</v>
      </c>
      <c r="BR28" s="1464">
        <f t="shared" si="2"/>
        <v>0.17099999999999999</v>
      </c>
      <c r="BS28" s="1462">
        <f t="shared" si="2"/>
        <v>848.1391336436227</v>
      </c>
      <c r="BT28" s="1463">
        <f t="shared" ref="BT28:BV28" si="3">BT10+BT18</f>
        <v>15.257999999999999</v>
      </c>
      <c r="BU28" s="1464">
        <f t="shared" si="3"/>
        <v>8.0999999999999989E-2</v>
      </c>
      <c r="BV28" s="1462">
        <f t="shared" si="3"/>
        <v>796.66054897887852</v>
      </c>
      <c r="BW28" s="1463">
        <f>BW10+BW18</f>
        <v>14.331</v>
      </c>
      <c r="BX28" s="1464">
        <f>BX10+BX18</f>
        <v>0.11399999999999999</v>
      </c>
      <c r="BY28" s="1462">
        <f>BY10+BY18</f>
        <v>731.79912525938926</v>
      </c>
      <c r="BZ28" s="1463">
        <f>BZ10+BZ18</f>
        <v>13.161000000000001</v>
      </c>
      <c r="CA28" s="1464">
        <f>CA10+CA18</f>
        <v>0.20100000000000001</v>
      </c>
    </row>
    <row r="29" spans="1:256" x14ac:dyDescent="0.2">
      <c r="A29" s="1124"/>
      <c r="B29" s="1125"/>
      <c r="C29" s="1125"/>
      <c r="D29" s="1125"/>
      <c r="E29" s="1125"/>
      <c r="F29" s="1125"/>
      <c r="G29" s="1125"/>
      <c r="H29" s="1465"/>
      <c r="I29" s="1466"/>
      <c r="J29" s="1466"/>
      <c r="K29" s="1465"/>
      <c r="L29" s="1466"/>
      <c r="M29" s="1466"/>
      <c r="N29" s="1465"/>
      <c r="O29" s="1466"/>
      <c r="P29" s="1466"/>
      <c r="Q29" s="1465"/>
      <c r="R29" s="1466"/>
      <c r="S29" s="1466"/>
      <c r="T29" s="1465"/>
      <c r="U29" s="1466"/>
      <c r="V29" s="1466"/>
      <c r="W29" s="1465"/>
      <c r="X29" s="1466"/>
      <c r="Y29" s="1466"/>
      <c r="Z29" s="1465"/>
      <c r="AA29" s="1466"/>
      <c r="AB29" s="1466"/>
      <c r="AC29" s="1465"/>
      <c r="AD29" s="1466"/>
      <c r="AE29" s="1466"/>
      <c r="AF29" s="1465"/>
      <c r="AG29" s="1466"/>
      <c r="AH29" s="1466"/>
      <c r="AI29" s="1465"/>
      <c r="AJ29" s="1466"/>
      <c r="AK29" s="1466"/>
      <c r="AL29" s="1465"/>
      <c r="AM29" s="1466"/>
      <c r="AN29" s="1466"/>
      <c r="AO29" s="1465"/>
      <c r="AP29" s="1466"/>
      <c r="AQ29" s="1466"/>
      <c r="AR29" s="1465"/>
      <c r="AS29" s="1466"/>
      <c r="AT29" s="1466"/>
      <c r="AU29" s="1465"/>
      <c r="AV29" s="1466"/>
      <c r="AW29" s="1466"/>
      <c r="AX29" s="1465"/>
      <c r="AY29" s="1466"/>
      <c r="AZ29" s="1466"/>
      <c r="BA29" s="1465"/>
      <c r="BB29" s="1466"/>
      <c r="BC29" s="1466"/>
      <c r="BD29" s="1465"/>
      <c r="BE29" s="1466"/>
      <c r="BF29" s="1466"/>
      <c r="BG29" s="1465"/>
      <c r="BH29" s="1466"/>
      <c r="BI29" s="1466"/>
      <c r="BJ29" s="1465"/>
      <c r="BK29" s="1466"/>
      <c r="BL29" s="1466"/>
      <c r="BM29" s="1465"/>
      <c r="BN29" s="1466"/>
      <c r="BO29" s="1466"/>
      <c r="BP29" s="1465"/>
      <c r="BQ29" s="1466"/>
      <c r="BR29" s="1466"/>
      <c r="BS29" s="1465"/>
      <c r="BT29" s="1466"/>
      <c r="BU29" s="1466"/>
      <c r="BV29" s="1465"/>
      <c r="BW29" s="1466"/>
      <c r="BX29" s="1466"/>
      <c r="BY29" s="1465"/>
      <c r="BZ29" s="1466"/>
      <c r="CA29" s="1466"/>
    </row>
    <row r="30" spans="1:256" ht="13.5" thickBot="1" x14ac:dyDescent="0.25">
      <c r="A30" s="1206" t="s">
        <v>47</v>
      </c>
      <c r="B30" s="1196"/>
      <c r="C30" s="1467">
        <f>(I28+L28+O28+R28+U28+X28+AA28+AD28+AG28+AJ28+AM28+AP28+AS28+AV28+AY28+BB28+BE28+BH28+BK28+BN28+BQ28+BT28+BW28+BZ28)/SQRT((I28+L28+O28+R28+U28+X28+AA28+AD28+AG28+AJ28+AM28+AP28+AS28+AV28+AY28+BB28+BE28+BH28+BK28+BN28+BQ28+BT28+BW28+BZ28)^2+(J28+M28+P28+S28+V28+Y28+AB28+AE28+AH28+AK28+AN28+AQ28+AT28+AW28+AZ28+BC28+BF28++BI28+BL28+BO28+BR28+BU28+BX28+CA28)^2)</f>
        <v>0.99985792494789549</v>
      </c>
      <c r="D30" s="1328" t="s">
        <v>48</v>
      </c>
      <c r="E30" s="2424">
        <f>(CA28+BX28+BU28+BR28+BO28+BL28+BI28+BF28+BC28+AZ28+AW28+AT28+AQ28+AN28+AK28+AH28+AE28+AB28++Y28+V28+S28+P28+M28+J28)/(I28+L28+O28+R28+U28+X28+AA28+AD28+AG28+AJ28+AM28+AP28+AS28+AV28+AY28+BB28+BE28+BH28+BK28+BN28+BQ28+BT28+BW28+BZ28)</f>
        <v>1.6858548918687075E-2</v>
      </c>
      <c r="F30" s="2424"/>
      <c r="G30" s="1196"/>
      <c r="H30" s="1468"/>
      <c r="I30" s="1468"/>
      <c r="J30" s="1468"/>
      <c r="K30" s="1468"/>
      <c r="L30" s="1468"/>
      <c r="M30" s="1468"/>
      <c r="N30" s="1468"/>
      <c r="O30" s="1468"/>
      <c r="P30" s="1468"/>
      <c r="Q30" s="1468"/>
      <c r="R30" s="1468"/>
      <c r="S30" s="1468"/>
      <c r="T30" s="1468"/>
      <c r="U30" s="1468"/>
      <c r="V30" s="1468"/>
      <c r="W30" s="1468"/>
      <c r="X30" s="1468"/>
      <c r="Y30" s="1468"/>
      <c r="Z30" s="1468"/>
      <c r="AA30" s="1468"/>
      <c r="AB30" s="1468"/>
      <c r="AC30" s="1468"/>
      <c r="AD30" s="1468"/>
      <c r="AE30" s="1468"/>
      <c r="AF30" s="1468"/>
      <c r="AG30" s="1468"/>
      <c r="AH30" s="1468"/>
      <c r="AI30" s="1468"/>
      <c r="AJ30" s="1468"/>
      <c r="AK30" s="1468"/>
      <c r="AL30" s="1468"/>
      <c r="AM30" s="1468"/>
      <c r="AN30" s="1468"/>
      <c r="AO30" s="1468"/>
      <c r="AP30" s="1468"/>
      <c r="AQ30" s="1468"/>
      <c r="AR30" s="1468"/>
      <c r="AS30" s="1468"/>
      <c r="AT30" s="1468"/>
      <c r="AU30" s="1468"/>
      <c r="AV30" s="1468"/>
      <c r="AW30" s="1468"/>
      <c r="AX30" s="1468"/>
      <c r="AY30" s="1468"/>
      <c r="AZ30" s="1468"/>
      <c r="BA30" s="1468"/>
      <c r="BB30" s="1468"/>
      <c r="BC30" s="1468"/>
      <c r="BD30" s="1468"/>
      <c r="BE30" s="1468"/>
      <c r="BF30" s="1468"/>
      <c r="BG30" s="1468"/>
      <c r="BH30" s="1468"/>
      <c r="BI30" s="1468"/>
      <c r="BJ30" s="1468"/>
      <c r="BK30" s="1468"/>
      <c r="BL30" s="1468"/>
      <c r="BM30" s="1468"/>
      <c r="BN30" s="1468"/>
      <c r="BO30" s="1468"/>
      <c r="BP30" s="1468"/>
      <c r="BQ30" s="1468"/>
      <c r="BR30" s="1468"/>
      <c r="BS30" s="1468"/>
      <c r="BT30" s="1468"/>
      <c r="BU30" s="1468"/>
      <c r="BV30" s="1468"/>
      <c r="BW30" s="1468"/>
      <c r="BX30" s="1468"/>
      <c r="BY30" s="1468"/>
      <c r="BZ30" s="1468"/>
      <c r="CA30" s="1468"/>
    </row>
    <row r="31" spans="1:256" x14ac:dyDescent="0.2">
      <c r="A31" s="1357" t="s">
        <v>40</v>
      </c>
      <c r="B31" s="1123"/>
      <c r="C31" s="1469"/>
      <c r="D31" s="1470" t="s">
        <v>5</v>
      </c>
      <c r="E31" s="1471"/>
      <c r="F31" s="1472" t="s">
        <v>6</v>
      </c>
      <c r="G31" s="1473"/>
      <c r="H31" s="1474"/>
      <c r="I31" s="1475"/>
      <c r="J31" s="1475"/>
      <c r="K31" s="1474"/>
      <c r="L31" s="1475"/>
      <c r="M31" s="1475"/>
      <c r="N31" s="1474"/>
      <c r="O31" s="1475"/>
      <c r="P31" s="1475"/>
      <c r="Q31" s="1474"/>
      <c r="R31" s="1475"/>
      <c r="S31" s="1475"/>
      <c r="T31" s="1474"/>
      <c r="U31" s="1475"/>
      <c r="V31" s="1475"/>
      <c r="W31" s="1474"/>
      <c r="X31" s="1475"/>
      <c r="Y31" s="1475"/>
      <c r="Z31" s="1474"/>
      <c r="AA31" s="1475"/>
      <c r="AB31" s="1475"/>
      <c r="AC31" s="1474"/>
      <c r="AD31" s="1475"/>
      <c r="AE31" s="1475"/>
      <c r="AF31" s="1474"/>
      <c r="AG31" s="1475"/>
      <c r="AH31" s="1475"/>
      <c r="AI31" s="1474"/>
      <c r="AJ31" s="1475"/>
      <c r="AK31" s="1475"/>
      <c r="AL31" s="1474"/>
      <c r="AM31" s="1475"/>
      <c r="AN31" s="1475"/>
      <c r="AO31" s="1474"/>
      <c r="AP31" s="1475"/>
      <c r="AQ31" s="1475"/>
      <c r="AR31" s="1474"/>
      <c r="AS31" s="1475"/>
      <c r="AT31" s="1475"/>
      <c r="AU31" s="1474"/>
      <c r="AV31" s="1475"/>
      <c r="AW31" s="1475"/>
      <c r="AX31" s="1474"/>
      <c r="AY31" s="1475"/>
      <c r="AZ31" s="1475"/>
      <c r="BA31" s="1474"/>
      <c r="BB31" s="1475"/>
      <c r="BC31" s="1475"/>
      <c r="BD31" s="1474"/>
      <c r="BE31" s="1475"/>
      <c r="BF31" s="1475"/>
      <c r="BG31" s="1474"/>
      <c r="BH31" s="1475"/>
      <c r="BI31" s="1475"/>
      <c r="BJ31" s="1474"/>
      <c r="BK31" s="1475"/>
      <c r="BL31" s="1475"/>
      <c r="BM31" s="1474"/>
      <c r="BN31" s="1475"/>
      <c r="BO31" s="1475"/>
      <c r="BP31" s="1474"/>
      <c r="BQ31" s="1475"/>
      <c r="BR31" s="1475"/>
      <c r="BS31" s="1474"/>
      <c r="BT31" s="1475"/>
      <c r="BU31" s="1475"/>
      <c r="BV31" s="1474"/>
      <c r="BW31" s="1475"/>
      <c r="BX31" s="1475"/>
      <c r="BY31" s="1474"/>
      <c r="BZ31" s="1475"/>
      <c r="CA31" s="1475"/>
    </row>
    <row r="32" spans="1:256" ht="13.5" thickBot="1" x14ac:dyDescent="0.25">
      <c r="A32" s="1195"/>
      <c r="B32" s="1215" t="s">
        <v>289</v>
      </c>
      <c r="C32" s="1216"/>
      <c r="D32" s="1476" t="s">
        <v>7</v>
      </c>
      <c r="E32" s="1218" t="s">
        <v>8</v>
      </c>
      <c r="F32" s="1218" t="s">
        <v>7</v>
      </c>
      <c r="G32" s="1219" t="s">
        <v>8</v>
      </c>
      <c r="H32" s="1474"/>
      <c r="I32" s="1475"/>
      <c r="J32" s="1475"/>
      <c r="K32" s="1474"/>
      <c r="L32" s="1475"/>
      <c r="M32" s="1475"/>
      <c r="N32" s="1474"/>
      <c r="O32" s="1475"/>
      <c r="P32" s="1475"/>
      <c r="Q32" s="1474"/>
      <c r="R32" s="1475"/>
      <c r="S32" s="1475"/>
      <c r="T32" s="1474"/>
      <c r="U32" s="1475"/>
      <c r="V32" s="1475"/>
      <c r="W32" s="1474"/>
      <c r="X32" s="1475"/>
      <c r="Y32" s="1475"/>
      <c r="Z32" s="1474"/>
      <c r="AA32" s="1475"/>
      <c r="AB32" s="1475"/>
      <c r="AC32" s="1474"/>
      <c r="AD32" s="1475"/>
      <c r="AE32" s="1475"/>
      <c r="AF32" s="1474"/>
      <c r="AG32" s="1475"/>
      <c r="AH32" s="1475"/>
      <c r="AI32" s="1474"/>
      <c r="AJ32" s="1475"/>
      <c r="AK32" s="1475"/>
      <c r="AL32" s="1474"/>
      <c r="AM32" s="1475"/>
      <c r="AN32" s="1475"/>
      <c r="AO32" s="1474"/>
      <c r="AP32" s="1475"/>
      <c r="AQ32" s="1475"/>
      <c r="AR32" s="1474"/>
      <c r="AS32" s="1475"/>
      <c r="AT32" s="1475"/>
      <c r="AU32" s="1474"/>
      <c r="AV32" s="1475"/>
      <c r="AW32" s="1475"/>
      <c r="AX32" s="1474"/>
      <c r="AY32" s="1475"/>
      <c r="AZ32" s="1475"/>
      <c r="BA32" s="1474"/>
      <c r="BB32" s="1475"/>
      <c r="BC32" s="1475"/>
      <c r="BD32" s="1474"/>
      <c r="BE32" s="1475"/>
      <c r="BF32" s="1475"/>
      <c r="BG32" s="1474"/>
      <c r="BH32" s="1475"/>
      <c r="BI32" s="1475"/>
      <c r="BJ32" s="1474"/>
      <c r="BK32" s="1475"/>
      <c r="BL32" s="1475"/>
      <c r="BM32" s="1474"/>
      <c r="BN32" s="1475"/>
      <c r="BO32" s="1475"/>
      <c r="BP32" s="1474"/>
      <c r="BQ32" s="1475"/>
      <c r="BR32" s="1475"/>
      <c r="BS32" s="1474"/>
      <c r="BT32" s="1475"/>
      <c r="BU32" s="1475"/>
      <c r="BV32" s="1474"/>
      <c r="BW32" s="1475"/>
      <c r="BX32" s="1475"/>
      <c r="BY32" s="1474"/>
      <c r="BZ32" s="1475"/>
      <c r="CA32" s="1475"/>
    </row>
    <row r="33" spans="1:79" x14ac:dyDescent="0.2">
      <c r="A33" s="1250">
        <v>1</v>
      </c>
      <c r="B33" s="1477" t="s">
        <v>325</v>
      </c>
      <c r="C33" s="1233"/>
      <c r="D33" s="1419"/>
      <c r="E33" s="1235"/>
      <c r="F33" s="1236"/>
      <c r="G33" s="1237"/>
      <c r="H33" s="1478">
        <f>SQRT(I33^2+J33^2)*1000/(1.73*I14)</f>
        <v>95.373623685345223</v>
      </c>
      <c r="I33" s="1263">
        <v>1.7076</v>
      </c>
      <c r="J33" s="1264">
        <v>-0.16919999999999999</v>
      </c>
      <c r="K33" s="1399">
        <f>SQRT(L33^2+M33^2)*1000/(1.73*L14)</f>
        <v>90.411097401698925</v>
      </c>
      <c r="L33" s="1263">
        <v>1.6175999999999999</v>
      </c>
      <c r="M33" s="1264">
        <v>-0.1716</v>
      </c>
      <c r="N33" s="1399">
        <f>SQRT(O33^2+P33^2)*1000/(1.73*O14)</f>
        <v>89.342886940074763</v>
      </c>
      <c r="O33" s="1263">
        <v>1.5984</v>
      </c>
      <c r="P33" s="1264">
        <v>-0.1704</v>
      </c>
      <c r="Q33" s="1399">
        <f>SQRT(R33^2+S33^2)*1000/(1.73*R14)</f>
        <v>87.228191500773249</v>
      </c>
      <c r="R33" s="1263">
        <v>1.56</v>
      </c>
      <c r="S33" s="1264">
        <v>-0.1716</v>
      </c>
      <c r="T33" s="1399">
        <f>SQRT(U33^2+V33^2)*1000/(1.73*U14)</f>
        <v>87.346323129362617</v>
      </c>
      <c r="U33" s="1263">
        <v>1.5624</v>
      </c>
      <c r="V33" s="1264">
        <v>-0.16919999999999999</v>
      </c>
      <c r="W33" s="1399">
        <f>SQRT(X33^2+Y33^2)*1000/(1.73*X14)</f>
        <v>90.191192689421527</v>
      </c>
      <c r="X33" s="1263">
        <v>1.6140000000000001</v>
      </c>
      <c r="Y33" s="1264">
        <v>-0.16800000000000001</v>
      </c>
      <c r="Z33" s="1399">
        <f>SQRT(AA33^2+AB33^2)*1000/(1.73*AA14)</f>
        <v>98.180977393608941</v>
      </c>
      <c r="AA33" s="1263">
        <v>1.758</v>
      </c>
      <c r="AB33" s="1264">
        <v>-0.17280000000000001</v>
      </c>
      <c r="AC33" s="1399">
        <f>SQRT(AD33^2+AE33^2)*1000/(1.73*AD14)</f>
        <v>109.15021707061285</v>
      </c>
      <c r="AD33" s="1263">
        <v>1.956</v>
      </c>
      <c r="AE33" s="1264">
        <v>-0.17519999999999999</v>
      </c>
      <c r="AF33" s="1399">
        <f>SQRT(AG33^2+AH33^2)*1000/(1.73*AG14)</f>
        <v>117.43536472917249</v>
      </c>
      <c r="AG33" s="1263">
        <v>2.1048</v>
      </c>
      <c r="AH33" s="1264">
        <v>-0.18479999999999999</v>
      </c>
      <c r="AI33" s="1399">
        <f>SQRT(AJ33^2+AK33^2)*1000/(1.73*AJ14)</f>
        <v>116.51805177987661</v>
      </c>
      <c r="AJ33" s="1263">
        <v>2.0903999999999998</v>
      </c>
      <c r="AK33" s="1264">
        <v>-0.15840000000000001</v>
      </c>
      <c r="AL33" s="1399">
        <f>SQRT(AM33^2+AN33^2)*1000/(1.73*AM14)</f>
        <v>119.41100198234318</v>
      </c>
      <c r="AM33" s="1263">
        <v>2.1432000000000002</v>
      </c>
      <c r="AN33" s="1264">
        <v>-0.15</v>
      </c>
      <c r="AO33" s="1399">
        <f>SQRT(AP33^2+AQ33^2)*1000/(1.73*AP14)</f>
        <v>117.08244104699361</v>
      </c>
      <c r="AP33" s="1263">
        <v>2.1012</v>
      </c>
      <c r="AQ33" s="1264">
        <v>-0.15</v>
      </c>
      <c r="AR33" s="1399">
        <f>SQRT(AS33^2+AT33^2)*1000/(1.73*AS14)</f>
        <v>116.99720910283087</v>
      </c>
      <c r="AS33" s="1263">
        <v>2.1</v>
      </c>
      <c r="AT33" s="1264">
        <v>-0.1452</v>
      </c>
      <c r="AU33" s="1399">
        <f>SQRT(AV33^2+AW33^2)*1000/(1.73*AV14)</f>
        <v>117.01118113308171</v>
      </c>
      <c r="AV33" s="1263">
        <v>2.1</v>
      </c>
      <c r="AW33" s="1264">
        <v>-0.14879999999999999</v>
      </c>
      <c r="AX33" s="1399">
        <f>SQRT(AY33^2+AZ33^2)*1000/(1.73*AY14)</f>
        <v>117.02068496213553</v>
      </c>
      <c r="AY33" s="1263">
        <v>2.1</v>
      </c>
      <c r="AZ33" s="1264">
        <v>-0.1512</v>
      </c>
      <c r="BA33" s="1399">
        <f>SQRT(BB33^2+BC33^2)*1000/(1.73*BB14)</f>
        <v>119.29078246404286</v>
      </c>
      <c r="BB33" s="1263">
        <v>2.1396000000000002</v>
      </c>
      <c r="BC33" s="1264">
        <v>-0.16919999999999999</v>
      </c>
      <c r="BD33" s="1399">
        <f>SQRT(BE33^2+BF33^2)*1000/(1.73*BE14)</f>
        <v>119.89959769696362</v>
      </c>
      <c r="BE33" s="1263">
        <v>2.1492</v>
      </c>
      <c r="BF33" s="1264">
        <v>-0.186</v>
      </c>
      <c r="BG33" s="1399">
        <f>SQRT(BH33^2+BI33^2)*1000/(1.73*BH14)</f>
        <v>118.85403987382684</v>
      </c>
      <c r="BH33" s="1263">
        <v>2.13</v>
      </c>
      <c r="BI33" s="1264">
        <v>-0.18959999999999999</v>
      </c>
      <c r="BJ33" s="1399">
        <f>SQRT(BK33^2+BL33^2)*1000/(1.73*BK14)</f>
        <v>119.31321051464973</v>
      </c>
      <c r="BK33" s="1263">
        <v>2.1383999999999999</v>
      </c>
      <c r="BL33" s="1264">
        <v>-0.18840000000000001</v>
      </c>
      <c r="BM33" s="1399">
        <f>SQRT(BN33^2+BO33^2)*1000/(1.73*BN14)</f>
        <v>120.45848347687591</v>
      </c>
      <c r="BN33" s="1263">
        <v>2.16</v>
      </c>
      <c r="BO33" s="1264">
        <v>-0.17760000000000001</v>
      </c>
      <c r="BP33" s="1399">
        <f>SQRT(BQ33^2+BR33^2)*1000/(1.73*BQ14)</f>
        <v>117.44538344036984</v>
      </c>
      <c r="BQ33" s="1263">
        <v>2.1059999999999999</v>
      </c>
      <c r="BR33" s="1264">
        <v>-0.17280000000000001</v>
      </c>
      <c r="BS33" s="1399">
        <f>SQRT(BT33^2+BU33^2)*1000/(1.73*BT14)</f>
        <v>116.10501905051203</v>
      </c>
      <c r="BT33" s="1263">
        <v>2.0819999999999999</v>
      </c>
      <c r="BU33" s="1264">
        <v>-0.1704</v>
      </c>
      <c r="BV33" s="1399">
        <f>SQRT(BW33^2+BX33^2)*1000/(1.73*BW14)</f>
        <v>109.96233305654573</v>
      </c>
      <c r="BW33" s="1263">
        <v>1.9716</v>
      </c>
      <c r="BX33" s="1264">
        <v>-0.16439999999999999</v>
      </c>
      <c r="BY33" s="1399">
        <f>SQRT(BZ33^2+CA33^2)*1000/(1.73*BZ14)</f>
        <v>101.92819716133717</v>
      </c>
      <c r="BZ33" s="1263">
        <v>1.8264</v>
      </c>
      <c r="CA33" s="1264">
        <v>-0.1656</v>
      </c>
    </row>
    <row r="34" spans="1:79" x14ac:dyDescent="0.2">
      <c r="A34" s="1133">
        <v>2</v>
      </c>
      <c r="B34" s="1479" t="s">
        <v>326</v>
      </c>
      <c r="C34" s="1233"/>
      <c r="D34" s="1419"/>
      <c r="E34" s="1235"/>
      <c r="F34" s="1236"/>
      <c r="G34" s="1237"/>
      <c r="H34" s="1480">
        <f>SQRT(I34^2+J34^2)*1000/(1.73*I22)</f>
        <v>93.171521654545273</v>
      </c>
      <c r="I34" s="1254">
        <v>1.6716</v>
      </c>
      <c r="J34" s="1415">
        <v>-0.126</v>
      </c>
      <c r="K34" s="1238">
        <f>SQRT(L34^2+M34^2)*1000/(1.73*L22)</f>
        <v>87.679649292270994</v>
      </c>
      <c r="L34" s="1254">
        <v>1.5720000000000001</v>
      </c>
      <c r="M34" s="1415">
        <v>-0.13200000000000001</v>
      </c>
      <c r="N34" s="1238">
        <f>SQRT(O34^2+P34^2)*1000/(1.73*O22)</f>
        <v>84.235828207015786</v>
      </c>
      <c r="O34" s="1254">
        <v>1.5096000000000001</v>
      </c>
      <c r="P34" s="1415">
        <v>-0.13439999999999999</v>
      </c>
      <c r="Q34" s="1238">
        <f>SQRT(R34^2+S34^2)*1000/(1.73*R22)</f>
        <v>83.112540352467747</v>
      </c>
      <c r="R34" s="1254">
        <v>1.4892000000000001</v>
      </c>
      <c r="S34" s="1415">
        <v>-0.1356</v>
      </c>
      <c r="T34" s="1238">
        <f>SQRT(U34^2+V34^2)*1000/(1.73*U22)</f>
        <v>83.305799793232509</v>
      </c>
      <c r="U34" s="1254">
        <v>1.4927999999999999</v>
      </c>
      <c r="V34" s="1415">
        <v>-0.13439999999999999</v>
      </c>
      <c r="W34" s="1238">
        <f>SQRT(X34^2+Y34^2)*1000/(1.73*X22)</f>
        <v>86.821330037937543</v>
      </c>
      <c r="X34" s="1254">
        <v>1.5564</v>
      </c>
      <c r="Y34" s="1415">
        <v>-0.13320000000000001</v>
      </c>
      <c r="Z34" s="1238">
        <f>SQRT(AA34^2+AB34^2)*1000/(1.73*AA22)</f>
        <v>96.635127142644606</v>
      </c>
      <c r="AA34" s="1254">
        <v>1.734</v>
      </c>
      <c r="AB34" s="1415">
        <v>-0.12720000000000001</v>
      </c>
      <c r="AC34" s="1238">
        <f>SQRT(AD34^2+AE34^2)*1000/(1.73*AD22)</f>
        <v>105.129337152928</v>
      </c>
      <c r="AD34" s="1254">
        <v>1.8875999999999999</v>
      </c>
      <c r="AE34" s="1415">
        <v>-0.1212</v>
      </c>
      <c r="AF34" s="1238">
        <f>SQRT(AG34^2+AH34^2)*1000/(1.73*AG22)</f>
        <v>106.41562863292982</v>
      </c>
      <c r="AG34" s="1254">
        <v>1.9104000000000001</v>
      </c>
      <c r="AH34" s="1415">
        <v>-0.12720000000000001</v>
      </c>
      <c r="AI34" s="1238">
        <f>SQRT(AJ34^2+AK34^2)*1000/(1.73*AJ22)</f>
        <v>106.50256241123495</v>
      </c>
      <c r="AJ34" s="1254">
        <v>1.9128000000000001</v>
      </c>
      <c r="AK34" s="1415">
        <v>-0.114</v>
      </c>
      <c r="AL34" s="1238">
        <f>SQRT(AM34^2+AN34^2)*1000/(1.73*AM22)</f>
        <v>107.61289870029208</v>
      </c>
      <c r="AM34" s="1254">
        <v>1.9343999999999999</v>
      </c>
      <c r="AN34" s="1415">
        <v>-8.2799999999999999E-2</v>
      </c>
      <c r="AO34" s="1238">
        <f>SQRT(AP34^2+AQ34^2)*1000/(1.73*AP22)</f>
        <v>107.5450018766203</v>
      </c>
      <c r="AP34" s="1254">
        <v>1.9319999999999999</v>
      </c>
      <c r="AQ34" s="1415">
        <v>-0.10680000000000001</v>
      </c>
      <c r="AR34" s="1238">
        <f>SQRT(AS34^2+AT34^2)*1000/(1.73*AS22)</f>
        <v>108.71923982429647</v>
      </c>
      <c r="AS34" s="1254">
        <v>1.9536</v>
      </c>
      <c r="AT34" s="1415">
        <v>-9.8400000000000001E-2</v>
      </c>
      <c r="AU34" s="1238">
        <f>SQRT(AV34^2+AW34^2)*1000/(1.73*AV22)</f>
        <v>107.22186333099617</v>
      </c>
      <c r="AV34" s="1254">
        <v>1.9272</v>
      </c>
      <c r="AW34" s="1415">
        <v>-8.6400000000000005E-2</v>
      </c>
      <c r="AX34" s="1238">
        <f>SQRT(AY34^2+AZ34^2)*1000/(1.73*AY22)</f>
        <v>107.94826018817459</v>
      </c>
      <c r="AY34" s="1254">
        <v>1.9392</v>
      </c>
      <c r="AZ34" s="1415">
        <v>-0.108</v>
      </c>
      <c r="BA34" s="1238">
        <f>SQRT(BB34^2+BC34^2)*1000/(1.73*BB22)</f>
        <v>110.78425649932238</v>
      </c>
      <c r="BB34" s="1254">
        <v>1.9907999999999999</v>
      </c>
      <c r="BC34" s="1415">
        <v>-9.8400000000000001E-2</v>
      </c>
      <c r="BD34" s="1238">
        <f>SQRT(BE34^2+BF34^2)*1000/(1.73*BE22)</f>
        <v>112.36576489038784</v>
      </c>
      <c r="BE34" s="1254">
        <v>2.0184000000000002</v>
      </c>
      <c r="BF34" s="1415">
        <v>-0.1152</v>
      </c>
      <c r="BG34" s="1238">
        <f>SQRT(BH34^2+BI34^2)*1000/(1.73*BH22)</f>
        <v>111.55541461059684</v>
      </c>
      <c r="BH34" s="1254">
        <v>2.004</v>
      </c>
      <c r="BI34" s="1415">
        <v>-0.1116</v>
      </c>
      <c r="BJ34" s="1238">
        <f>SQRT(BK34^2+BL34^2)*1000/(1.73*BK22)</f>
        <v>110.09417396492312</v>
      </c>
      <c r="BK34" s="1254">
        <v>1.9776</v>
      </c>
      <c r="BL34" s="1415">
        <v>-0.1128</v>
      </c>
      <c r="BM34" s="1238">
        <f>SQRT(BN34^2+BO34^2)*1000/(1.73*BN22)</f>
        <v>109.71021894021817</v>
      </c>
      <c r="BN34" s="1254">
        <v>1.9703999999999999</v>
      </c>
      <c r="BO34" s="1415">
        <v>-0.1176</v>
      </c>
      <c r="BP34" s="1238">
        <f>SQRT(BQ34^2+BR34^2)*1000/(1.73*BQ22)</f>
        <v>109.51048607954718</v>
      </c>
      <c r="BQ34" s="1254">
        <v>1.9668000000000001</v>
      </c>
      <c r="BR34" s="1415">
        <v>-0.1176</v>
      </c>
      <c r="BS34" s="1238">
        <f>SQRT(BT34^2+BU34^2)*1000/(1.73*BT22)</f>
        <v>107.64234730531288</v>
      </c>
      <c r="BT34" s="1254">
        <v>1.9332</v>
      </c>
      <c r="BU34" s="1415">
        <v>-0.1164</v>
      </c>
      <c r="BV34" s="1238">
        <f>SQRT(BW34^2+BX34^2)*1000/(1.73*BW22)</f>
        <v>104.38447605945356</v>
      </c>
      <c r="BW34" s="1254">
        <v>1.8744000000000001</v>
      </c>
      <c r="BX34" s="1415">
        <v>-0.1176</v>
      </c>
      <c r="BY34" s="1238">
        <f>SQRT(BZ34^2+CA34^2)*1000/(1.73*BZ22)</f>
        <v>98.40325671715506</v>
      </c>
      <c r="BZ34" s="1254">
        <v>1.7664</v>
      </c>
      <c r="CA34" s="1415">
        <v>-0.12</v>
      </c>
    </row>
    <row r="35" spans="1:79" x14ac:dyDescent="0.2">
      <c r="A35" s="1250">
        <v>3</v>
      </c>
      <c r="B35" s="1477" t="s">
        <v>327</v>
      </c>
      <c r="C35" s="1233"/>
      <c r="D35" s="1419"/>
      <c r="E35" s="1235"/>
      <c r="F35" s="1236"/>
      <c r="G35" s="1237"/>
      <c r="H35" s="1480">
        <f>SQRT(I35^2+J35^2)*1000/(1.73*I14)</f>
        <v>32.925286920046645</v>
      </c>
      <c r="I35" s="1254">
        <v>0.58799999999999997</v>
      </c>
      <c r="J35" s="1415">
        <v>7.1999999999999995E-2</v>
      </c>
      <c r="K35" s="1238">
        <f>SQRT(L35^2+M35^2)*1000/(1.73*L14)</f>
        <v>28.990116938456826</v>
      </c>
      <c r="L35" s="1254">
        <v>0.51839999999999997</v>
      </c>
      <c r="M35" s="1415">
        <v>5.7599999999999998E-2</v>
      </c>
      <c r="N35" s="1238">
        <f>SQRT(O35^2+P35^2)*1000/(1.73*O14)</f>
        <v>29.071329203602954</v>
      </c>
      <c r="O35" s="1254">
        <v>0.51839999999999997</v>
      </c>
      <c r="P35" s="1415">
        <v>6.9599999999999995E-2</v>
      </c>
      <c r="Q35" s="1238">
        <f>SQRT(R35^2+S35^2)*1000/(1.73*R14)</f>
        <v>27.259541325950213</v>
      </c>
      <c r="R35" s="1254">
        <v>0.48720000000000002</v>
      </c>
      <c r="S35" s="1415">
        <v>5.6399999999999999E-2</v>
      </c>
      <c r="T35" s="1481">
        <f>SQRT(U35^2+V35^2)*1000/(1.73*U14)</f>
        <v>26.862057665754627</v>
      </c>
      <c r="U35" s="1254">
        <v>0.48</v>
      </c>
      <c r="V35" s="1415">
        <v>5.6399999999999999E-2</v>
      </c>
      <c r="W35" s="1481">
        <f>SQRT(X35^2+Y35^2)*1000/(1.73*X14)</f>
        <v>28.05473845412693</v>
      </c>
      <c r="X35" s="1254">
        <v>0.50160000000000005</v>
      </c>
      <c r="Y35" s="1415">
        <v>5.6399999999999999E-2</v>
      </c>
      <c r="Z35" s="1481">
        <f>SQRT(AA35^2+AB35^2)*1000/(1.73*AA14)</f>
        <v>33.217842325315111</v>
      </c>
      <c r="AA35" s="1254">
        <v>0.59399999999999997</v>
      </c>
      <c r="AB35" s="1415">
        <v>6.6000000000000003E-2</v>
      </c>
      <c r="AC35" s="1481">
        <f>SQRT(AD35^2+AE35^2)*1000/(1.73*AD14)</f>
        <v>40.281534136228359</v>
      </c>
      <c r="AD35" s="1254">
        <v>0.72</v>
      </c>
      <c r="AE35" s="1415">
        <v>8.2799999999999999E-2</v>
      </c>
      <c r="AF35" s="1481">
        <f>SQRT(AG35^2+AH35^2)*1000/(1.73*AG14)</f>
        <v>39.685256928154239</v>
      </c>
      <c r="AG35" s="1254">
        <v>0.70920000000000005</v>
      </c>
      <c r="AH35" s="1415">
        <v>8.2799999999999999E-2</v>
      </c>
      <c r="AI35" s="1481">
        <f>SQRT(AJ35^2+AK35^2)*1000/(1.73*AJ14)</f>
        <v>36.91271681953895</v>
      </c>
      <c r="AJ35" s="1254">
        <v>0.65880000000000005</v>
      </c>
      <c r="AK35" s="1415">
        <v>8.4000000000000005E-2</v>
      </c>
      <c r="AL35" s="1481">
        <f>SQRT(AM35^2+AN35^2)*1000/(1.73*AM14)</f>
        <v>36.887943444247369</v>
      </c>
      <c r="AM35" s="1254">
        <v>0.65880000000000005</v>
      </c>
      <c r="AN35" s="1415">
        <v>8.0399999999999999E-2</v>
      </c>
      <c r="AO35" s="1481">
        <f>SQRT(AP35^2+AQ35^2)*1000/(1.73*AP14)</f>
        <v>37.922996061206426</v>
      </c>
      <c r="AP35" s="1254">
        <v>0.66720000000000002</v>
      </c>
      <c r="AQ35" s="1415">
        <v>0.14280000000000001</v>
      </c>
      <c r="AR35" s="1481">
        <f>SQRT(AS35^2+AT35^2)*1000/(1.73*AS14)</f>
        <v>36.292170308722973</v>
      </c>
      <c r="AS35" s="1254">
        <v>0.64800000000000002</v>
      </c>
      <c r="AT35" s="1415">
        <v>8.0399999999999999E-2</v>
      </c>
      <c r="AU35" s="1481">
        <f>SQRT(AV35^2+AW35^2)*1000/(1.73*AV14)</f>
        <v>38.144225234577256</v>
      </c>
      <c r="AV35" s="1254">
        <v>0.67920000000000003</v>
      </c>
      <c r="AW35" s="1415">
        <v>9.8400000000000001E-2</v>
      </c>
      <c r="AX35" s="1481">
        <f>SQRT(AY35^2+AZ35^2)*1000/(1.73*AY14)</f>
        <v>37.956705058975714</v>
      </c>
      <c r="AY35" s="1254">
        <v>0.67679999999999996</v>
      </c>
      <c r="AZ35" s="1415">
        <v>9.1200000000000003E-2</v>
      </c>
      <c r="BA35" s="1481">
        <f>SQRT(BB35^2+BC35^2)*1000/(1.73*BB14)</f>
        <v>39.288372418316172</v>
      </c>
      <c r="BB35" s="1254">
        <v>0.70320000000000005</v>
      </c>
      <c r="BC35" s="1415">
        <v>7.1999999999999995E-2</v>
      </c>
      <c r="BD35" s="1481">
        <f>SQRT(BE35^2+BF35^2)*1000/(1.73*BE14)</f>
        <v>39.564012415679223</v>
      </c>
      <c r="BE35" s="1254">
        <v>0.70920000000000005</v>
      </c>
      <c r="BF35" s="1415">
        <v>6.1199999999999997E-2</v>
      </c>
      <c r="BG35" s="1481">
        <f>SQRT(BH35^2+BI35^2)*1000/(1.73*BH14)</f>
        <v>41.804116711922312</v>
      </c>
      <c r="BH35" s="1254">
        <v>0.74880000000000002</v>
      </c>
      <c r="BI35" s="1415">
        <v>7.0800000000000002E-2</v>
      </c>
      <c r="BJ35" s="1481">
        <f>SQRT(BK35^2+BL35^2)*1000/(1.73*BK14)</f>
        <v>44.21965317919075</v>
      </c>
      <c r="BK35" s="1254">
        <v>0.79200000000000004</v>
      </c>
      <c r="BL35" s="1415">
        <v>7.5600000000000001E-2</v>
      </c>
      <c r="BM35" s="1481">
        <f>SQRT(BN35^2+BO35^2)*1000/(1.73*BN14)</f>
        <v>46.62887773874813</v>
      </c>
      <c r="BN35" s="1254">
        <v>0.83520000000000005</v>
      </c>
      <c r="BO35" s="1415">
        <v>7.9200000000000007E-2</v>
      </c>
      <c r="BP35" s="1481">
        <f>SQRT(BQ35^2+BR35^2)*1000/(1.73*BQ14)</f>
        <v>46.575279801213753</v>
      </c>
      <c r="BQ35" s="1254">
        <v>0.83399999999999996</v>
      </c>
      <c r="BR35" s="1415">
        <v>8.1600000000000006E-2</v>
      </c>
      <c r="BS35" s="1481">
        <f>SQRT(BT35^2+BU35^2)*1000/(1.73*BT14)</f>
        <v>44.033406611314675</v>
      </c>
      <c r="BT35" s="1254">
        <v>0.78839999999999999</v>
      </c>
      <c r="BU35" s="1415">
        <v>7.8E-2</v>
      </c>
      <c r="BV35" s="1238">
        <f>SQRT(BW35^2+BX35^2)*1000/(1.73*BW14)</f>
        <v>41.033844049732345</v>
      </c>
      <c r="BW35" s="1254">
        <v>0.73440000000000005</v>
      </c>
      <c r="BX35" s="1415">
        <v>7.5600000000000001E-2</v>
      </c>
      <c r="BY35" s="1238">
        <f>SQRT(BZ35^2+CA35^2)*1000/(1.73*BZ14)</f>
        <v>35.353951520550844</v>
      </c>
      <c r="BZ35" s="1254">
        <v>0.63239999999999996</v>
      </c>
      <c r="CA35" s="1415">
        <v>6.8400000000000002E-2</v>
      </c>
    </row>
    <row r="36" spans="1:79" x14ac:dyDescent="0.2">
      <c r="A36" s="1133">
        <v>4</v>
      </c>
      <c r="B36" s="1477" t="s">
        <v>328</v>
      </c>
      <c r="C36" s="1233"/>
      <c r="D36" s="1419"/>
      <c r="E36" s="1235"/>
      <c r="F36" s="1236"/>
      <c r="G36" s="1237"/>
      <c r="H36" s="1480">
        <f>SQRT(I36^2+J36^2)*1000/(1.73*I22)</f>
        <v>19.970282890641933</v>
      </c>
      <c r="I36" s="1254">
        <v>0.35639999999999999</v>
      </c>
      <c r="J36" s="1415">
        <v>4.5600000000000002E-2</v>
      </c>
      <c r="K36" s="1238">
        <f>SQRT(L36^2+M36^2)*1000/(1.73*L22)</f>
        <v>18.374560903857034</v>
      </c>
      <c r="L36" s="1254">
        <v>0.3276</v>
      </c>
      <c r="M36" s="1415">
        <v>4.4400000000000002E-2</v>
      </c>
      <c r="N36" s="1238">
        <f>SQRT(O36^2+P36^2)*1000/(1.73*O22)</f>
        <v>17.836867765659697</v>
      </c>
      <c r="O36" s="1254">
        <v>0.318</v>
      </c>
      <c r="P36" s="1415">
        <v>4.3200000000000002E-2</v>
      </c>
      <c r="Q36" s="1238">
        <f>SQRT(R36^2+S36^2)*1000/(1.73*R22)</f>
        <v>17.317681020814994</v>
      </c>
      <c r="R36" s="1254">
        <v>0.30840000000000001</v>
      </c>
      <c r="S36" s="1415">
        <v>4.4400000000000002E-2</v>
      </c>
      <c r="T36" s="1481">
        <f>SQRT(U36^2+V36^2)*1000/(1.73*U22)</f>
        <v>17.327310979086558</v>
      </c>
      <c r="U36" s="1254">
        <v>0.30840000000000001</v>
      </c>
      <c r="V36" s="1415">
        <v>4.5600000000000002E-2</v>
      </c>
      <c r="W36" s="1481">
        <f>SQRT(X36^2+Y36^2)*1000/(1.73*X22)</f>
        <v>17.836867765659697</v>
      </c>
      <c r="X36" s="1254">
        <v>0.318</v>
      </c>
      <c r="Y36" s="1415">
        <v>4.3200000000000002E-2</v>
      </c>
      <c r="Z36" s="1481">
        <f>SQRT(AA36^2+AB36^2)*1000/(1.73*AA22)</f>
        <v>20.343358408727422</v>
      </c>
      <c r="AA36" s="1254">
        <v>0.36359999999999998</v>
      </c>
      <c r="AB36" s="1415">
        <v>4.2000000000000003E-2</v>
      </c>
      <c r="AC36" s="1481">
        <f>SQRT(AD36^2+AE36^2)*1000/(1.73*AD22)</f>
        <v>23.792173161421793</v>
      </c>
      <c r="AD36" s="1254">
        <v>0.42480000000000001</v>
      </c>
      <c r="AE36" s="1415">
        <v>5.28E-2</v>
      </c>
      <c r="AF36" s="1481">
        <f>SQRT(AG36^2+AH36^2)*1000/(1.73*AG22)</f>
        <v>21.856554629833042</v>
      </c>
      <c r="AG36" s="1254">
        <v>0.39</v>
      </c>
      <c r="AH36" s="1415">
        <v>5.04E-2</v>
      </c>
      <c r="AI36" s="1481">
        <f>SQRT(AJ36^2+AK36^2)*1000/(1.73*AJ22)</f>
        <v>20.425302397184083</v>
      </c>
      <c r="AJ36" s="1254">
        <v>0.36480000000000001</v>
      </c>
      <c r="AK36" s="1415">
        <v>4.4400000000000002E-2</v>
      </c>
      <c r="AL36" s="1481">
        <f>SQRT(AM36^2+AN36^2)*1000/(1.73*AM22)</f>
        <v>21.543733903748571</v>
      </c>
      <c r="AM36" s="1254">
        <v>0.38519999999999999</v>
      </c>
      <c r="AN36" s="1415">
        <v>4.3200000000000002E-2</v>
      </c>
      <c r="AO36" s="1481">
        <f>SQRT(AP36^2+AQ36^2)*1000/(1.73*AP22)</f>
        <v>22.405592536368626</v>
      </c>
      <c r="AP36" s="1254">
        <v>0.40079999999999999</v>
      </c>
      <c r="AQ36" s="1415">
        <v>4.3200000000000002E-2</v>
      </c>
      <c r="AR36" s="1481">
        <f>SQRT(AS36^2+AT36^2)*1000/(1.73*AS22)</f>
        <v>23.495662455058074</v>
      </c>
      <c r="AS36" s="1254">
        <v>0.42</v>
      </c>
      <c r="AT36" s="1415">
        <v>4.8000000000000001E-2</v>
      </c>
      <c r="AU36" s="1481">
        <f>SQRT(AV36^2+AW36^2)*1000/(1.73*AV22)</f>
        <v>24.329895872089779</v>
      </c>
      <c r="AV36" s="1254">
        <v>0.43440000000000001</v>
      </c>
      <c r="AW36" s="1415">
        <v>5.3999999999999999E-2</v>
      </c>
      <c r="AX36" s="1481">
        <f>SQRT(AY36^2+AZ36^2)*1000/(1.73*AY22)</f>
        <v>25.008270180466734</v>
      </c>
      <c r="AY36" s="1254">
        <v>0.44640000000000002</v>
      </c>
      <c r="AZ36" s="1415">
        <v>5.6399999999999999E-2</v>
      </c>
      <c r="BA36" s="1481">
        <f>SQRT(BB36^2+BC36^2)*1000/(1.73*BB22)</f>
        <v>27.377108678158578</v>
      </c>
      <c r="BB36" s="1254">
        <v>0.48959999999999998</v>
      </c>
      <c r="BC36" s="1415">
        <v>5.3999999999999999E-2</v>
      </c>
      <c r="BD36" s="1481">
        <f>SQRT(BE36^2+BF36^2)*1000/(1.73*BE22)</f>
        <v>28.557004531444026</v>
      </c>
      <c r="BE36" s="1254">
        <v>0.51119999999999999</v>
      </c>
      <c r="BF36" s="1415">
        <v>5.16E-2</v>
      </c>
      <c r="BG36" s="1481">
        <f>SQRT(BH36^2+BI36^2)*1000/(1.73*BH22)</f>
        <v>27.601717909990217</v>
      </c>
      <c r="BH36" s="1254">
        <v>0.49440000000000001</v>
      </c>
      <c r="BI36" s="1415">
        <v>4.6800000000000001E-2</v>
      </c>
      <c r="BJ36" s="1481">
        <f>SQRT(BK36^2+BL36^2)*1000/(1.73*BK22)</f>
        <v>29.075077870083391</v>
      </c>
      <c r="BK36" s="1254">
        <v>0.52080000000000004</v>
      </c>
      <c r="BL36" s="1415">
        <v>4.9200000000000001E-2</v>
      </c>
      <c r="BM36" s="1481">
        <f>SQRT(BN36^2+BO36^2)*1000/(1.73*BN22)</f>
        <v>31.399868827213268</v>
      </c>
      <c r="BN36" s="1254">
        <v>0.56279999999999997</v>
      </c>
      <c r="BO36" s="1415">
        <v>4.9200000000000001E-2</v>
      </c>
      <c r="BP36" s="1481">
        <f>SQRT(BQ36^2+BR36^2)*1000/(1.73*BQ22)</f>
        <v>31.266985174099375</v>
      </c>
      <c r="BQ36" s="1254">
        <v>0.56040000000000001</v>
      </c>
      <c r="BR36" s="1415">
        <v>4.9200000000000001E-2</v>
      </c>
      <c r="BS36" s="1481">
        <f>SQRT(BT36^2+BU36^2)*1000/(1.73*BT22)</f>
        <v>30.452471484317314</v>
      </c>
      <c r="BT36" s="1254">
        <v>0.54600000000000004</v>
      </c>
      <c r="BU36" s="1415">
        <v>4.5600000000000002E-2</v>
      </c>
      <c r="BV36" s="1238">
        <f>SQRT(BW36^2+BX36^2)*1000/(1.73*BW22)</f>
        <v>27.734519728637387</v>
      </c>
      <c r="BW36" s="1254">
        <v>0.49680000000000002</v>
      </c>
      <c r="BX36" s="1415">
        <v>4.6800000000000001E-2</v>
      </c>
      <c r="BY36" s="1238">
        <f>SQRT(BZ36^2+CA36^2)*1000/(1.73*BZ22)</f>
        <v>23.871782232976457</v>
      </c>
      <c r="BZ36" s="1254">
        <v>0.42720000000000002</v>
      </c>
      <c r="CA36" s="1415">
        <v>4.4400000000000002E-2</v>
      </c>
    </row>
    <row r="37" spans="1:79" x14ac:dyDescent="0.2">
      <c r="A37" s="1250">
        <v>5</v>
      </c>
      <c r="B37" s="1479" t="s">
        <v>329</v>
      </c>
      <c r="C37" s="1222"/>
      <c r="D37" s="1416"/>
      <c r="E37" s="1224"/>
      <c r="F37" s="1225"/>
      <c r="G37" s="1226"/>
      <c r="H37" s="1482">
        <f>SQRT(I37^2+J37^2)*1000/(1.73*I14)</f>
        <v>85.047236156214481</v>
      </c>
      <c r="I37" s="1246">
        <v>1.53</v>
      </c>
      <c r="J37" s="1414">
        <v>-2.2800000000000001E-2</v>
      </c>
      <c r="K37" s="1227">
        <f>SQRT(L37^2+M37^2)*1000/(1.73*L14)</f>
        <v>81.512741201530133</v>
      </c>
      <c r="L37" s="1246">
        <v>1.4663999999999999</v>
      </c>
      <c r="M37" s="1414">
        <v>-2.2800000000000001E-2</v>
      </c>
      <c r="N37" s="1227">
        <f>SQRT(O37^2+P37^2)*1000/(1.73*O14)</f>
        <v>79.239959480900552</v>
      </c>
      <c r="O37" s="1246">
        <v>1.4256</v>
      </c>
      <c r="P37" s="1414">
        <v>-1.5599999999999999E-2</v>
      </c>
      <c r="Q37" s="1227">
        <f>SQRT(R37^2+S37^2)*1000/(1.73*R14)</f>
        <v>78.779635562706474</v>
      </c>
      <c r="R37" s="1246">
        <v>1.4172</v>
      </c>
      <c r="S37" s="1414">
        <v>-2.4E-2</v>
      </c>
      <c r="T37" s="1227">
        <f>SQRT(U37^2+V37^2)*1000/(1.73*U14)</f>
        <v>79.371999060704027</v>
      </c>
      <c r="U37" s="1246">
        <v>1.4279999999999999</v>
      </c>
      <c r="V37" s="1414">
        <v>-1.32E-2</v>
      </c>
      <c r="W37" s="1227">
        <f>SQRT(X37^2+Y37^2)*1000/(1.73*X14)</f>
        <v>81.916210711011146</v>
      </c>
      <c r="X37" s="1246">
        <v>1.4736</v>
      </c>
      <c r="Y37" s="1414">
        <v>-2.64E-2</v>
      </c>
      <c r="Z37" s="1227">
        <f>SQRT(AA37^2+AB37^2)*1000/(1.73*AA14)</f>
        <v>92.716530683636307</v>
      </c>
      <c r="AA37" s="1246">
        <v>1.6679999999999999</v>
      </c>
      <c r="AB37" s="1414">
        <v>-2.2800000000000001E-2</v>
      </c>
      <c r="AC37" s="1227">
        <f>SQRT(AD37^2+AE37^2)*1000/(1.73*AD14)</f>
        <v>101.85681673845457</v>
      </c>
      <c r="AD37" s="1246">
        <v>1.8324</v>
      </c>
      <c r="AE37" s="1414">
        <v>-2.76E-2</v>
      </c>
      <c r="AF37" s="1227">
        <f>SQRT(AG37^2+AH37^2)*1000/(1.73*AG14)</f>
        <v>106.11919412037827</v>
      </c>
      <c r="AG37" s="1246">
        <v>1.9092</v>
      </c>
      <c r="AH37" s="1414">
        <v>-1.9199999999999998E-2</v>
      </c>
      <c r="AI37" s="1227">
        <f>SQRT(AJ37^2+AK37^2)*1000/(1.73*AJ14)</f>
        <v>109.98320525272042</v>
      </c>
      <c r="AJ37" s="1246">
        <v>1.9787999999999999</v>
      </c>
      <c r="AK37" s="1414">
        <v>8.3999999999999995E-3</v>
      </c>
      <c r="AL37" s="1227">
        <f>SQRT(AM37^2+AN37^2)*1000/(1.73*AM14)</f>
        <v>110.32545390174822</v>
      </c>
      <c r="AM37" s="1246">
        <v>1.9847999999999999</v>
      </c>
      <c r="AN37" s="1414">
        <v>-2.64E-2</v>
      </c>
      <c r="AO37" s="1227">
        <f>SQRT(AP37^2+AQ37^2)*1000/(1.73*AP14)</f>
        <v>112.38488453336261</v>
      </c>
      <c r="AP37" s="1246">
        <v>2.0219999999999998</v>
      </c>
      <c r="AQ37" s="1414">
        <v>1.0800000000000001E-2</v>
      </c>
      <c r="AR37" s="1227">
        <f>SQRT(AS37^2+AT37^2)*1000/(1.73*AS14)</f>
        <v>112.31708022142001</v>
      </c>
      <c r="AS37" s="1246">
        <v>2.0207999999999999</v>
      </c>
      <c r="AT37" s="1414">
        <v>6.0000000000000001E-3</v>
      </c>
      <c r="AU37" s="1227">
        <f>SQRT(AV37^2+AW37^2)*1000/(1.73*AV14)</f>
        <v>111.05584445006167</v>
      </c>
      <c r="AV37" s="1246">
        <v>1.998</v>
      </c>
      <c r="AW37" s="1414">
        <v>-2.1600000000000001E-2</v>
      </c>
      <c r="AX37" s="1227">
        <f>SQRT(AY37^2+AZ37^2)*1000/(1.73*AY14)</f>
        <v>110.98604582982412</v>
      </c>
      <c r="AY37" s="1246">
        <v>1.9967999999999999</v>
      </c>
      <c r="AZ37" s="1414">
        <v>1.5599999999999999E-2</v>
      </c>
      <c r="BA37" s="1227">
        <f>SQRT(BB37^2+BC37^2)*1000/(1.73*BB14)</f>
        <v>116.05433829379712</v>
      </c>
      <c r="BB37" s="1246">
        <v>2.0880000000000001</v>
      </c>
      <c r="BC37" s="1414">
        <v>-1.44E-2</v>
      </c>
      <c r="BD37" s="1227">
        <f>SQRT(BE37^2+BF37^2)*1000/(1.73*BE14)</f>
        <v>120.72768967529655</v>
      </c>
      <c r="BE37" s="1246">
        <v>2.1720000000000002</v>
      </c>
      <c r="BF37" s="1414">
        <v>-2.4E-2</v>
      </c>
      <c r="BG37" s="1227">
        <f>SQRT(BH37^2+BI37^2)*1000/(1.73*BH14)</f>
        <v>119.39712449696131</v>
      </c>
      <c r="BH37" s="1246">
        <v>2.1480000000000001</v>
      </c>
      <c r="BI37" s="1414">
        <v>-2.8799999999999999E-2</v>
      </c>
      <c r="BJ37" s="1227">
        <f>SQRT(BK37^2+BL37^2)*1000/(1.73*BK14)</f>
        <v>119.86395686743252</v>
      </c>
      <c r="BK37" s="1246">
        <v>2.1564000000000001</v>
      </c>
      <c r="BL37" s="1414">
        <v>-2.8799999999999999E-2</v>
      </c>
      <c r="BM37" s="1227">
        <f>SQRT(BN37^2+BO37^2)*1000/(1.73*BN14)</f>
        <v>118.25865061388163</v>
      </c>
      <c r="BN37" s="1246">
        <v>2.1276000000000002</v>
      </c>
      <c r="BO37" s="1414">
        <v>-2.1600000000000001E-2</v>
      </c>
      <c r="BP37" s="1227">
        <f>SQRT(BQ37^2+BR37^2)*1000/(1.73*BQ14)</f>
        <v>114.25576174382154</v>
      </c>
      <c r="BQ37" s="1246">
        <v>2.0556000000000001</v>
      </c>
      <c r="BR37" s="1414">
        <v>-1.9199999999999998E-2</v>
      </c>
      <c r="BS37" s="1227">
        <f>SQRT(BT37^2+BU37^2)*1000/(1.73*BT14)</f>
        <v>109.58936347306555</v>
      </c>
      <c r="BT37" s="1246">
        <v>1.9716</v>
      </c>
      <c r="BU37" s="1414">
        <v>-2.2800000000000001E-2</v>
      </c>
      <c r="BV37" s="1227">
        <f>SQRT(BW37^2+BX37^2)*1000/(1.73*BW14)</f>
        <v>102.45909984761819</v>
      </c>
      <c r="BW37" s="1246">
        <v>1.8431999999999999</v>
      </c>
      <c r="BX37" s="1414">
        <v>-0.03</v>
      </c>
      <c r="BY37" s="1227">
        <f>SQRT(BZ37^2+CA37^2)*1000/(1.73*BZ14)</f>
        <v>95.588121337685791</v>
      </c>
      <c r="BZ37" s="1246">
        <v>1.7196</v>
      </c>
      <c r="CA37" s="1414">
        <v>-2.76E-2</v>
      </c>
    </row>
    <row r="38" spans="1:79" x14ac:dyDescent="0.2">
      <c r="A38" s="1133">
        <v>6</v>
      </c>
      <c r="B38" s="1477" t="s">
        <v>330</v>
      </c>
      <c r="C38" s="1233"/>
      <c r="D38" s="1419"/>
      <c r="E38" s="1235"/>
      <c r="F38" s="1236"/>
      <c r="G38" s="1237"/>
      <c r="H38" s="1480">
        <f>SQRT(I38^2+J38^2)*1000/(1.73*I22)</f>
        <v>102.87027404200019</v>
      </c>
      <c r="I38" s="1254">
        <v>1.8455999999999999</v>
      </c>
      <c r="J38" s="1415">
        <v>0.13919999999999999</v>
      </c>
      <c r="K38" s="1238">
        <f>SQRT(L38^2+M38^2)*1000/(1.73*L22)</f>
        <v>95.971261607168202</v>
      </c>
      <c r="L38" s="1254">
        <v>1.7208000000000001</v>
      </c>
      <c r="M38" s="1415">
        <v>0.14280000000000001</v>
      </c>
      <c r="N38" s="1238">
        <f>SQRT(O38^2+P38^2)*1000/(1.73*O22)</f>
        <v>92.703407642164905</v>
      </c>
      <c r="O38" s="1254">
        <v>1.6619999999999999</v>
      </c>
      <c r="P38" s="1415">
        <v>0.1404</v>
      </c>
      <c r="Q38" s="1238">
        <f>SQRT(R38^2+S38^2)*1000/(1.73*R22)</f>
        <v>91.693163529843758</v>
      </c>
      <c r="R38" s="1254">
        <v>1.6428</v>
      </c>
      <c r="S38" s="1415">
        <v>0.1512</v>
      </c>
      <c r="T38" s="1238">
        <f>SQRT(U38^2+V38^2)*1000/(1.73*U22)</f>
        <v>93.15208774739304</v>
      </c>
      <c r="U38" s="1254">
        <v>1.6704000000000001</v>
      </c>
      <c r="V38" s="1415">
        <v>0.1368</v>
      </c>
      <c r="W38" s="1238">
        <f>SQRT(X38^2+Y38^2)*1000/(1.73*X22)</f>
        <v>95.47885949505239</v>
      </c>
      <c r="X38" s="1254">
        <v>1.7123999999999999</v>
      </c>
      <c r="Y38" s="1415">
        <v>0.1368</v>
      </c>
      <c r="Z38" s="1238">
        <f>SQRT(AA38^2+AB38^2)*1000/(1.73*AA22)</f>
        <v>106.78093726982041</v>
      </c>
      <c r="AA38" s="1254">
        <v>1.9176</v>
      </c>
      <c r="AB38" s="1415">
        <v>0.1176</v>
      </c>
      <c r="AC38" s="1238">
        <f>SQRT(AD38^2+AE38^2)*1000/(1.73*AD22)</f>
        <v>120.07477206362172</v>
      </c>
      <c r="AD38" s="1254">
        <v>2.16</v>
      </c>
      <c r="AE38" s="1415">
        <v>4.0800000000000003E-2</v>
      </c>
      <c r="AF38" s="1238">
        <f>SQRT(AG38^2+AH38^2)*1000/(1.73*AG22)</f>
        <v>123.24577484962192</v>
      </c>
      <c r="AG38" s="1254">
        <v>2.2151999999999998</v>
      </c>
      <c r="AH38" s="1415">
        <v>9.9599999999999994E-2</v>
      </c>
      <c r="AI38" s="1238">
        <f>SQRT(AJ38^2+AK38^2)*1000/(1.73*AJ22)</f>
        <v>127.55700136842458</v>
      </c>
      <c r="AJ38" s="1254">
        <v>2.2884000000000002</v>
      </c>
      <c r="AK38" s="1415">
        <v>0.17399999999999999</v>
      </c>
      <c r="AL38" s="1238">
        <f>SQRT(AM38^2+AN38^2)*1000/(1.73*AM22)</f>
        <v>132.55025265957343</v>
      </c>
      <c r="AM38" s="1254">
        <v>2.3784000000000001</v>
      </c>
      <c r="AN38" s="1415">
        <v>0.17519999999999999</v>
      </c>
      <c r="AO38" s="1238">
        <f>SQRT(AP38^2+AQ38^2)*1000/(1.73*AP22)</f>
        <v>132.80660517346195</v>
      </c>
      <c r="AP38" s="1254">
        <v>2.3832</v>
      </c>
      <c r="AQ38" s="1415">
        <v>0.17280000000000001</v>
      </c>
      <c r="AR38" s="1238">
        <f>SQRT(AS38^2+AT38^2)*1000/(1.73*AS22)</f>
        <v>132.87982247440331</v>
      </c>
      <c r="AS38" s="1254">
        <v>2.3856000000000002</v>
      </c>
      <c r="AT38" s="1415">
        <v>0.15720000000000001</v>
      </c>
      <c r="AU38" s="1238">
        <f>SQRT(AV38^2+AW38^2)*1000/(1.73*AV22)</f>
        <v>129.10960231136079</v>
      </c>
      <c r="AV38" s="1254">
        <v>2.3172000000000001</v>
      </c>
      <c r="AW38" s="1415">
        <v>0.16320000000000001</v>
      </c>
      <c r="AX38" s="1238">
        <f>SQRT(AY38^2+AZ38^2)*1000/(1.73*AY22)</f>
        <v>127.84553474546284</v>
      </c>
      <c r="AY38" s="1254">
        <v>2.2944</v>
      </c>
      <c r="AZ38" s="1415">
        <v>0.16320000000000001</v>
      </c>
      <c r="BA38" s="1238">
        <f>SQRT(BB38^2+BC38^2)*1000/(1.73*BB22)</f>
        <v>134.34835472481103</v>
      </c>
      <c r="BB38" s="1254">
        <v>2.4119999999999999</v>
      </c>
      <c r="BC38" s="1415">
        <v>0.15840000000000001</v>
      </c>
      <c r="BD38" s="1238">
        <f>SQRT(BE38^2+BF38^2)*1000/(1.73*BE22)</f>
        <v>140.48429394571369</v>
      </c>
      <c r="BE38" s="1254">
        <v>2.5247999999999999</v>
      </c>
      <c r="BF38" s="1415">
        <v>0.1188</v>
      </c>
      <c r="BG38" s="1238">
        <f>SQRT(BH38^2+BI38^2)*1000/(1.73*BH22)</f>
        <v>143.45476932599448</v>
      </c>
      <c r="BH38" s="1254">
        <v>2.58</v>
      </c>
      <c r="BI38" s="1415">
        <v>7.3200000000000001E-2</v>
      </c>
      <c r="BJ38" s="1238">
        <f>SQRT(BK38^2+BL38^2)*1000/(1.73*BK22)</f>
        <v>145.29343639379482</v>
      </c>
      <c r="BK38" s="1254">
        <v>2.6124000000000001</v>
      </c>
      <c r="BL38" s="1415">
        <v>9.4799999999999995E-2</v>
      </c>
      <c r="BM38" s="1238">
        <f>SQRT(BN38^2+BO38^2)*1000/(1.73*BN22)</f>
        <v>142.51403279413717</v>
      </c>
      <c r="BN38" s="1254">
        <v>2.5632000000000001</v>
      </c>
      <c r="BO38" s="1415">
        <v>6.8400000000000002E-2</v>
      </c>
      <c r="BP38" s="1238">
        <f>SQRT(BQ38^2+BR38^2)*1000/(1.73*BQ22)</f>
        <v>137.2831865894421</v>
      </c>
      <c r="BQ38" s="1254">
        <v>2.4695999999999998</v>
      </c>
      <c r="BR38" s="1415">
        <v>4.4400000000000002E-2</v>
      </c>
      <c r="BS38" s="1238">
        <f>SQRT(BT38^2+BU38^2)*1000/(1.73*BT22)</f>
        <v>131.7979998249829</v>
      </c>
      <c r="BT38" s="1254">
        <v>2.3712</v>
      </c>
      <c r="BU38" s="1415">
        <v>2.2800000000000001E-2</v>
      </c>
      <c r="BV38" s="1238">
        <f>SQRT(BW38^2+BX38^2)*1000/(1.73*BW22)</f>
        <v>123.29295834824248</v>
      </c>
      <c r="BW38" s="1254">
        <v>2.2176</v>
      </c>
      <c r="BX38" s="1415">
        <v>5.5199999999999999E-2</v>
      </c>
      <c r="BY38" s="1238">
        <f>SQRT(BZ38^2+CA38^2)*1000/(1.73*BZ22)</f>
        <v>113.18245809151887</v>
      </c>
      <c r="BZ38" s="1254">
        <v>2.0339999999999998</v>
      </c>
      <c r="CA38" s="1415">
        <v>9.8400000000000001E-2</v>
      </c>
    </row>
    <row r="39" spans="1:79" x14ac:dyDescent="0.2">
      <c r="A39" s="1250">
        <v>7</v>
      </c>
      <c r="B39" s="1477" t="s">
        <v>331</v>
      </c>
      <c r="C39" s="1233"/>
      <c r="D39" s="1419"/>
      <c r="E39" s="1235"/>
      <c r="F39" s="1236"/>
      <c r="G39" s="1237"/>
      <c r="H39" s="1480">
        <f>SQRT(I39^2+J39^2)*1000/(1.73*I14)</f>
        <v>36.380742944378731</v>
      </c>
      <c r="I39" s="1254">
        <v>0.65280000000000005</v>
      </c>
      <c r="J39" s="1415">
        <v>-4.8000000000000001E-2</v>
      </c>
      <c r="K39" s="1238">
        <f>SQRT(L39^2+M39^2)*1000/(1.73*L14)</f>
        <v>35.454656529513954</v>
      </c>
      <c r="L39" s="1254">
        <v>0.63600000000000001</v>
      </c>
      <c r="M39" s="1415">
        <v>-4.9200000000000001E-2</v>
      </c>
      <c r="N39" s="1238">
        <f>SQRT(O39^2+P39^2)*1000/(1.73*O14)</f>
        <v>34.861504454317625</v>
      </c>
      <c r="O39" s="1254">
        <v>0.62519999999999998</v>
      </c>
      <c r="P39" s="1415">
        <v>-5.04E-2</v>
      </c>
      <c r="Q39" s="1238">
        <f>SQRT(R39^2+S39^2)*1000/(1.73*R14)</f>
        <v>35.055684312102052</v>
      </c>
      <c r="R39" s="1254">
        <v>0.62880000000000003</v>
      </c>
      <c r="S39" s="1415">
        <v>-4.9200000000000001E-2</v>
      </c>
      <c r="T39" s="1238">
        <f>SQRT(U39^2+V39^2)*1000/(1.73*U14)</f>
        <v>35.25516700468895</v>
      </c>
      <c r="U39" s="1254">
        <v>0.63239999999999996</v>
      </c>
      <c r="V39" s="1415">
        <v>-4.9200000000000001E-2</v>
      </c>
      <c r="W39" s="1238">
        <f>SQRT(X39^2+Y39^2)*1000/(1.73*X14)</f>
        <v>37.112466058514855</v>
      </c>
      <c r="X39" s="1254">
        <v>0.66600000000000004</v>
      </c>
      <c r="Y39" s="1415">
        <v>-4.8000000000000001E-2</v>
      </c>
      <c r="Z39" s="1238">
        <f>SQRT(AA39^2+AB39^2)*1000/(1.73*AA14)</f>
        <v>38.785151267206565</v>
      </c>
      <c r="AA39" s="1254">
        <v>0.69599999999999995</v>
      </c>
      <c r="AB39" s="1415">
        <v>-5.04E-2</v>
      </c>
      <c r="AC39" s="1238">
        <f>SQRT(AD39^2+AE39^2)*1000/(1.73*AD14)</f>
        <v>40.772125519549817</v>
      </c>
      <c r="AD39" s="1254">
        <v>0.73199999999999998</v>
      </c>
      <c r="AE39" s="1415">
        <v>-4.8000000000000001E-2</v>
      </c>
      <c r="AF39" s="1238">
        <f>SQRT(AG39^2+AH39^2)*1000/(1.73*AG14)</f>
        <v>42.436100170752447</v>
      </c>
      <c r="AG39" s="1254">
        <v>0.76200000000000001</v>
      </c>
      <c r="AH39" s="1415">
        <v>-4.8000000000000001E-2</v>
      </c>
      <c r="AI39" s="1238">
        <f>SQRT(AJ39^2+AK39^2)*1000/(1.73*AJ14)</f>
        <v>44.059816270530682</v>
      </c>
      <c r="AJ39" s="1254">
        <v>0.79079999999999995</v>
      </c>
      <c r="AK39" s="1415">
        <v>-5.5199999999999999E-2</v>
      </c>
      <c r="AL39" s="1238">
        <f>SQRT(AM39^2+AN39^2)*1000/(1.73*AM14)</f>
        <v>42.345066155312367</v>
      </c>
      <c r="AM39" s="1254">
        <v>0.75960000000000005</v>
      </c>
      <c r="AN39" s="1415">
        <v>-5.8799999999999998E-2</v>
      </c>
      <c r="AO39" s="1238">
        <f>SQRT(AP39^2+AQ39^2)*1000/(1.73*AP14)</f>
        <v>43.00505421151486</v>
      </c>
      <c r="AP39" s="1254">
        <v>0.77159999999999995</v>
      </c>
      <c r="AQ39" s="1415">
        <v>-5.7599999999999998E-2</v>
      </c>
      <c r="AR39" s="1238">
        <f>SQRT(AS39^2+AT39^2)*1000/(1.73*AS14)</f>
        <v>45.209865961345066</v>
      </c>
      <c r="AS39" s="1254">
        <v>0.81120000000000003</v>
      </c>
      <c r="AT39" s="1415">
        <v>-0.06</v>
      </c>
      <c r="AU39" s="1238">
        <f>SQRT(AV39^2+AW39^2)*1000/(1.73*AV14)</f>
        <v>43.931457158170254</v>
      </c>
      <c r="AV39" s="1254">
        <v>0.78839999999999999</v>
      </c>
      <c r="AW39" s="1415">
        <v>-5.6399999999999999E-2</v>
      </c>
      <c r="AX39" s="1238">
        <f>SQRT(AY39^2+AZ39^2)*1000/(1.73*AY14)</f>
        <v>42.192256170837688</v>
      </c>
      <c r="AY39" s="1254">
        <v>0.75719999999999998</v>
      </c>
      <c r="AZ39" s="1415">
        <v>-5.3999999999999999E-2</v>
      </c>
      <c r="BA39" s="1238">
        <f>SQRT(BB39^2+BC39^2)*1000/(1.73*BB14)</f>
        <v>45.397606247865632</v>
      </c>
      <c r="BB39" s="1254">
        <v>0.81599999999999995</v>
      </c>
      <c r="BC39" s="1415">
        <v>-3.5999999999999997E-2</v>
      </c>
      <c r="BD39" s="1238">
        <f>SQRT(BE39^2+BF39^2)*1000/(1.73*BE14)</f>
        <v>45.661259897282143</v>
      </c>
      <c r="BE39" s="1254">
        <v>0.82079999999999997</v>
      </c>
      <c r="BF39" s="1415">
        <v>-3.4799999999999998E-2</v>
      </c>
      <c r="BG39" s="1238">
        <f>SQRT(BH39^2+BI39^2)*1000/(1.73*BH14)</f>
        <v>44.537606157918994</v>
      </c>
      <c r="BH39" s="1254">
        <v>0.8004</v>
      </c>
      <c r="BI39" s="1415">
        <v>-3.8399999999999997E-2</v>
      </c>
      <c r="BJ39" s="1238">
        <f>SQRT(BK39^2+BL39^2)*1000/(1.73*BK14)</f>
        <v>44.71762487833621</v>
      </c>
      <c r="BK39" s="1254">
        <v>0.80400000000000005</v>
      </c>
      <c r="BL39" s="1415">
        <v>-0.03</v>
      </c>
      <c r="BM39" s="1238">
        <f>SQRT(BN39^2+BO39^2)*1000/(1.73*BN14)</f>
        <v>44.984225688332714</v>
      </c>
      <c r="BN39" s="1254">
        <v>0.80879999999999996</v>
      </c>
      <c r="BO39" s="1415">
        <v>-0.03</v>
      </c>
      <c r="BP39" s="1238">
        <f>SQRT(BQ39^2+BR39^2)*1000/(1.73*BQ14)</f>
        <v>42.915589900581068</v>
      </c>
      <c r="BQ39" s="1254">
        <v>0.77159999999999995</v>
      </c>
      <c r="BR39" s="1415">
        <v>-2.8799999999999999E-2</v>
      </c>
      <c r="BS39" s="1238">
        <f>SQRT(BT39^2+BU39^2)*1000/(1.73*BT14)</f>
        <v>43.18471442673566</v>
      </c>
      <c r="BT39" s="1254">
        <v>0.77639999999999998</v>
      </c>
      <c r="BU39" s="1415">
        <v>-0.03</v>
      </c>
      <c r="BV39" s="1238">
        <f>SQRT(BW39^2+BX39^2)*1000/(1.73*BW14)</f>
        <v>40.040067162893955</v>
      </c>
      <c r="BW39" s="1254">
        <v>0.71879999999999999</v>
      </c>
      <c r="BX39" s="1415">
        <v>-4.8000000000000001E-2</v>
      </c>
      <c r="BY39" s="1238">
        <f>SQRT(BZ39^2+CA39^2)*1000/(1.73*BZ14)</f>
        <v>38.443060815931453</v>
      </c>
      <c r="BZ39" s="1254">
        <v>0.69</v>
      </c>
      <c r="CA39" s="1415">
        <v>-4.8000000000000001E-2</v>
      </c>
    </row>
    <row r="40" spans="1:79" x14ac:dyDescent="0.2">
      <c r="A40" s="1133">
        <v>8</v>
      </c>
      <c r="B40" s="1477" t="s">
        <v>332</v>
      </c>
      <c r="C40" s="1233"/>
      <c r="D40" s="1419"/>
      <c r="E40" s="1235"/>
      <c r="F40" s="1236"/>
      <c r="G40" s="1237"/>
      <c r="H40" s="1480">
        <f>SQRT(I40^2+J40^2)*1000/(1.73*I22)</f>
        <v>7.3223314212319792</v>
      </c>
      <c r="I40" s="1254">
        <v>0.1236</v>
      </c>
      <c r="J40" s="1415">
        <v>-4.5600000000000002E-2</v>
      </c>
      <c r="K40" s="1238">
        <f>SQRT(L40^2+M40^2)*1000/(1.73*L22)</f>
        <v>7.2453806816970161</v>
      </c>
      <c r="L40" s="1254">
        <v>0.1212</v>
      </c>
      <c r="M40" s="1415">
        <v>-4.8000000000000001E-2</v>
      </c>
      <c r="N40" s="1238">
        <f>SQRT(O40^2+P40^2)*1000/(1.73*O22)</f>
        <v>7.2833469323615674</v>
      </c>
      <c r="O40" s="1254">
        <v>0.12239999999999999</v>
      </c>
      <c r="P40" s="1415">
        <v>-4.6800000000000001E-2</v>
      </c>
      <c r="Q40" s="1238">
        <f>SQRT(R40^2+S40^2)*1000/(1.73*R22)</f>
        <v>7.3074322408905301</v>
      </c>
      <c r="R40" s="1254">
        <v>0.12239999999999999</v>
      </c>
      <c r="S40" s="1415">
        <v>-4.8000000000000001E-2</v>
      </c>
      <c r="T40" s="1238">
        <f>SQRT(U40^2+V40^2)*1000/(1.73*U22)</f>
        <v>7.3456833626989955</v>
      </c>
      <c r="U40" s="1254">
        <v>0.1236</v>
      </c>
      <c r="V40" s="1415">
        <v>-4.6800000000000001E-2</v>
      </c>
      <c r="W40" s="1238">
        <f>SQRT(X40^2+Y40^2)*1000/(1.73*X22)</f>
        <v>7.6584674469115921</v>
      </c>
      <c r="X40" s="1254">
        <v>0.12959999999999999</v>
      </c>
      <c r="Y40" s="1415">
        <v>-4.6800000000000001E-2</v>
      </c>
      <c r="Z40" s="1238">
        <f>SQRT(AA40^2+AB40^2)*1000/(1.73*AA22)</f>
        <v>7.9522589030443118</v>
      </c>
      <c r="AA40" s="1254">
        <v>0.13200000000000001</v>
      </c>
      <c r="AB40" s="1415">
        <v>-5.5199999999999999E-2</v>
      </c>
      <c r="AC40" s="1238">
        <f>SQRT(AD40^2+AE40^2)*1000/(1.73*AD22)</f>
        <v>8.0658425672173113</v>
      </c>
      <c r="AD40" s="1254">
        <v>0.13320000000000001</v>
      </c>
      <c r="AE40" s="1415">
        <v>-5.7599999999999998E-2</v>
      </c>
      <c r="AF40" s="1238">
        <f>SQRT(AG40^2+AH40^2)*1000/(1.73*AG22)</f>
        <v>8.3373054648289493</v>
      </c>
      <c r="AG40" s="1254">
        <v>0.13800000000000001</v>
      </c>
      <c r="AH40" s="1415">
        <v>-5.8799999999999998E-2</v>
      </c>
      <c r="AI40" s="1238">
        <f>SQRT(AJ40^2+AK40^2)*1000/(1.73*AJ22)</f>
        <v>8.6056333212748655</v>
      </c>
      <c r="AJ40" s="1254">
        <v>0.1464</v>
      </c>
      <c r="AK40" s="1415">
        <v>-5.04E-2</v>
      </c>
      <c r="AL40" s="1238">
        <f>SQRT(AM40^2+AN40^2)*1000/(1.73*AM22)</f>
        <v>8.0404330561859378</v>
      </c>
      <c r="AM40" s="1254">
        <v>0.1356</v>
      </c>
      <c r="AN40" s="1415">
        <v>-5.04E-2</v>
      </c>
      <c r="AO40" s="1238">
        <f>SQRT(AP40^2+AQ40^2)*1000/(1.73*AP22)</f>
        <v>8.3538292459855086</v>
      </c>
      <c r="AP40" s="1254">
        <v>0.1416</v>
      </c>
      <c r="AQ40" s="1415">
        <v>-5.04E-2</v>
      </c>
      <c r="AR40" s="1238">
        <f>SQRT(AS40^2+AT40^2)*1000/(1.73*AS22)</f>
        <v>8.9008967516869202</v>
      </c>
      <c r="AS40" s="1254">
        <v>0.15240000000000001</v>
      </c>
      <c r="AT40" s="1415">
        <v>-4.9200000000000001E-2</v>
      </c>
      <c r="AU40" s="1238">
        <f>SQRT(AV40^2+AW40^2)*1000/(1.73*AV22)</f>
        <v>8.3947314618411806</v>
      </c>
      <c r="AV40" s="1254">
        <v>0.14280000000000001</v>
      </c>
      <c r="AW40" s="1415">
        <v>-4.9200000000000001E-2</v>
      </c>
      <c r="AX40" s="1238">
        <f>SQRT(AY40^2+AZ40^2)*1000/(1.73*AY22)</f>
        <v>7.9949375550215418</v>
      </c>
      <c r="AY40" s="1254">
        <v>0.1356</v>
      </c>
      <c r="AZ40" s="1415">
        <v>-4.8000000000000001E-2</v>
      </c>
      <c r="BA40" s="1238">
        <f>SQRT(BB40^2+BC40^2)*1000/(1.73*BB22)</f>
        <v>10.126643674473025</v>
      </c>
      <c r="BB40" s="1254">
        <v>0.1764</v>
      </c>
      <c r="BC40" s="1415">
        <v>-4.5600000000000002E-2</v>
      </c>
      <c r="BD40" s="1238">
        <f>SQRT(BE40^2+BF40^2)*1000/(1.73*BE22)</f>
        <v>10.320486154140347</v>
      </c>
      <c r="BE40" s="1254">
        <v>0.18</v>
      </c>
      <c r="BF40" s="1415">
        <v>-4.5600000000000002E-2</v>
      </c>
      <c r="BG40" s="1238">
        <f>SQRT(BH40^2+BI40^2)*1000/(1.73*BH22)</f>
        <v>10.174849365130287</v>
      </c>
      <c r="BH40" s="1254">
        <v>0.17760000000000001</v>
      </c>
      <c r="BI40" s="1415">
        <v>-4.4400000000000002E-2</v>
      </c>
      <c r="BJ40" s="1238">
        <f>SQRT(BK40^2+BL40^2)*1000/(1.73*BK22)</f>
        <v>9.7704971510342311</v>
      </c>
      <c r="BK40" s="1254">
        <v>0.1704</v>
      </c>
      <c r="BL40" s="1415">
        <v>-4.3200000000000002E-2</v>
      </c>
      <c r="BM40" s="1238">
        <f>SQRT(BN40^2+BO40^2)*1000/(1.73*BN22)</f>
        <v>10.02931546643898</v>
      </c>
      <c r="BN40" s="1254">
        <v>0.17519999999999999</v>
      </c>
      <c r="BO40" s="1415">
        <v>-4.3200000000000002E-2</v>
      </c>
      <c r="BP40" s="1238">
        <f>SQRT(BQ40^2+BR40^2)*1000/(1.73*BQ22)</f>
        <v>9.8351618147350752</v>
      </c>
      <c r="BQ40" s="1254">
        <v>0.1716</v>
      </c>
      <c r="BR40" s="1415">
        <v>-4.3200000000000002E-2</v>
      </c>
      <c r="BS40" s="1238">
        <f>SQRT(BT40^2+BU40^2)*1000/(1.73*BT22)</f>
        <v>9.447597567159832</v>
      </c>
      <c r="BT40" s="1254">
        <v>0.16439999999999999</v>
      </c>
      <c r="BU40" s="1415">
        <v>-4.3200000000000002E-2</v>
      </c>
      <c r="BV40" s="1238">
        <f>SQRT(BW40^2+BX40^2)*1000/(1.73*BW22)</f>
        <v>7.4317767597247411</v>
      </c>
      <c r="BW40" s="1254">
        <v>0.12479999999999999</v>
      </c>
      <c r="BX40" s="1415">
        <v>-4.8000000000000001E-2</v>
      </c>
      <c r="BY40" s="1238">
        <f>SQRT(BZ40^2+CA40^2)*1000/(1.73*BZ22)</f>
        <v>7.3849411484213832</v>
      </c>
      <c r="BZ40" s="1254">
        <v>0.12479999999999999</v>
      </c>
      <c r="CA40" s="1415">
        <v>-4.5600000000000002E-2</v>
      </c>
    </row>
    <row r="41" spans="1:79" x14ac:dyDescent="0.2">
      <c r="A41" s="1133">
        <v>9</v>
      </c>
      <c r="B41" s="1477" t="s">
        <v>333</v>
      </c>
      <c r="C41" s="1233"/>
      <c r="D41" s="1419"/>
      <c r="E41" s="1235"/>
      <c r="F41" s="1236"/>
      <c r="G41" s="1237"/>
      <c r="H41" s="1480">
        <f>SQRT(I41^2+J41^2)*1000/(1.73*I14)</f>
        <v>69.49835456372891</v>
      </c>
      <c r="I41" s="1254">
        <v>1.2504</v>
      </c>
      <c r="J41" s="1415">
        <v>-6.0000000000000001E-3</v>
      </c>
      <c r="K41" s="1248">
        <f>SQRT(L41^2+M41^2)*1000/(1.73*L14)</f>
        <v>64.163097654740909</v>
      </c>
      <c r="L41" s="1254">
        <v>1.1544000000000001</v>
      </c>
      <c r="M41" s="1415">
        <v>7.1999999999999998E-3</v>
      </c>
      <c r="N41" s="1248">
        <f>SQRT(O41^2+P41^2)*1000/(1.73*O14)</f>
        <v>60.026715577282182</v>
      </c>
      <c r="O41" s="1254">
        <v>1.08</v>
      </c>
      <c r="P41" s="1415">
        <v>-1.1999999999999999E-3</v>
      </c>
      <c r="Q41" s="1248">
        <f>SQRT(R41^2+S41^2)*1000/(1.73*R14)</f>
        <v>56.429019536943066</v>
      </c>
      <c r="R41" s="1254">
        <v>1.0152000000000001</v>
      </c>
      <c r="S41" s="1415">
        <v>-1.2E-2</v>
      </c>
      <c r="T41" s="1248">
        <f>SQRT(U41^2+V41^2)*1000/(1.73*U14)</f>
        <v>56.439306141195871</v>
      </c>
      <c r="U41" s="1254">
        <v>1.0152000000000001</v>
      </c>
      <c r="V41" s="1415">
        <v>-2.2800000000000001E-2</v>
      </c>
      <c r="W41" s="1248">
        <f>SQRT(X41^2+Y41^2)*1000/(1.73*X14)</f>
        <v>59.630230768940109</v>
      </c>
      <c r="X41" s="1254">
        <v>1.0728</v>
      </c>
      <c r="Y41" s="1415">
        <v>-1.2E-2</v>
      </c>
      <c r="Z41" s="1248">
        <f>SQRT(AA41^2+AB41^2)*1000/(1.73*AA14)</f>
        <v>71.979039113974295</v>
      </c>
      <c r="AA41" s="1254">
        <v>1.2936000000000001</v>
      </c>
      <c r="AB41" s="1415">
        <v>-6.1199999999999997E-2</v>
      </c>
      <c r="AC41" s="1248">
        <f>SQRT(AD41^2+AE41^2)*1000/(1.73*AD14)</f>
        <v>84.17066327767229</v>
      </c>
      <c r="AD41" s="1254">
        <v>1.512</v>
      </c>
      <c r="AE41" s="1415">
        <v>-8.5199999999999998E-2</v>
      </c>
      <c r="AF41" s="1248">
        <f>SQRT(AG41^2+AH41^2)*1000/(1.73*AG14)</f>
        <v>84.452409344006426</v>
      </c>
      <c r="AG41" s="1254">
        <v>1.5167999999999999</v>
      </c>
      <c r="AH41" s="1415">
        <v>-0.09</v>
      </c>
      <c r="AI41" s="1248">
        <f>SQRT(AJ41^2+AK41^2)*1000/(1.73*AJ14)</f>
        <v>79.996238667757922</v>
      </c>
      <c r="AJ41" s="1254">
        <v>1.4363999999999999</v>
      </c>
      <c r="AK41" s="1415">
        <v>-9.1200000000000003E-2</v>
      </c>
      <c r="AL41" s="1248">
        <f>SQRT(AM41^2+AN41^2)*1000/(1.73*AM14)</f>
        <v>79.006501224018834</v>
      </c>
      <c r="AM41" s="1254">
        <v>1.4184000000000001</v>
      </c>
      <c r="AN41" s="1415">
        <v>-9.3600000000000003E-2</v>
      </c>
      <c r="AO41" s="1248">
        <f>SQRT(AP41^2+AQ41^2)*1000/(1.73*AP14)</f>
        <v>80.649545862670735</v>
      </c>
      <c r="AP41" s="1254">
        <v>1.4483999999999999</v>
      </c>
      <c r="AQ41" s="1415">
        <v>-8.7599999999999997E-2</v>
      </c>
      <c r="AR41" s="1248">
        <f>SQRT(AS41^2+AT41^2)*1000/(1.73*AS14)</f>
        <v>83.882667993212692</v>
      </c>
      <c r="AS41" s="1254">
        <v>1.5072000000000001</v>
      </c>
      <c r="AT41" s="1415">
        <v>-7.8E-2</v>
      </c>
      <c r="AU41" s="1248">
        <f>SQRT(AV41^2+AW41^2)*1000/(1.73*AV14)</f>
        <v>81.640342229866675</v>
      </c>
      <c r="AV41" s="1254">
        <v>1.4663999999999999</v>
      </c>
      <c r="AW41" s="1415">
        <v>-8.5199999999999998E-2</v>
      </c>
      <c r="AX41" s="1248">
        <f>SQRT(AY41^2+AZ41^2)*1000/(1.73*AY14)</f>
        <v>81.069713966913937</v>
      </c>
      <c r="AY41" s="1254">
        <v>1.4556</v>
      </c>
      <c r="AZ41" s="1415">
        <v>-9.3600000000000003E-2</v>
      </c>
      <c r="BA41" s="1248">
        <f>SQRT(BB41^2+BC41^2)*1000/(1.73*BB14)</f>
        <v>84.170901101167743</v>
      </c>
      <c r="BB41" s="1254">
        <v>1.5107999999999999</v>
      </c>
      <c r="BC41" s="1415">
        <v>-0.10440000000000001</v>
      </c>
      <c r="BD41" s="1248">
        <f>SQRT(BE41^2+BF41^2)*1000/(1.73*BE14)</f>
        <v>88.878657156934082</v>
      </c>
      <c r="BE41" s="1254">
        <v>1.5960000000000001</v>
      </c>
      <c r="BF41" s="1415">
        <v>-9.9599999999999994E-2</v>
      </c>
      <c r="BG41" s="1248">
        <f>SQRT(BH41^2+BI41^2)*1000/(1.73*BH14)</f>
        <v>92.494099546605867</v>
      </c>
      <c r="BH41" s="1254">
        <v>1.6608000000000001</v>
      </c>
      <c r="BI41" s="1415">
        <v>-0.1056</v>
      </c>
      <c r="BJ41" s="1248">
        <f>SQRT(BK41^2+BL41^2)*1000/(1.73*BK14)</f>
        <v>97.353608020034798</v>
      </c>
      <c r="BK41" s="1254">
        <v>1.7484</v>
      </c>
      <c r="BL41" s="1415">
        <v>-0.1056</v>
      </c>
      <c r="BM41" s="1248">
        <f>SQRT(BN41^2+BO41^2)*1000/(1.73*BN14)</f>
        <v>97.621709244698437</v>
      </c>
      <c r="BN41" s="1254">
        <v>1.7544</v>
      </c>
      <c r="BO41" s="1415">
        <v>-8.4000000000000005E-2</v>
      </c>
      <c r="BP41" s="1248">
        <f>SQRT(BQ41^2+BR41^2)*1000/(1.73*BQ14)</f>
        <v>96.158338732860599</v>
      </c>
      <c r="BQ41" s="1254">
        <v>1.7292000000000001</v>
      </c>
      <c r="BR41" s="1415">
        <v>-5.5199999999999999E-2</v>
      </c>
      <c r="BS41" s="1248">
        <f>SQRT(BT41^2+BU41^2)*1000/(1.73*BT14)</f>
        <v>90.74669572334227</v>
      </c>
      <c r="BT41" s="1254">
        <v>1.6295999999999999</v>
      </c>
      <c r="BU41" s="1415">
        <v>-0.1008</v>
      </c>
      <c r="BV41" s="1248">
        <f>SQRT(BW41^2+BX41^2)*1000/(1.73*BW14)</f>
        <v>85.384536195084522</v>
      </c>
      <c r="BW41" s="1254">
        <v>1.5336000000000001</v>
      </c>
      <c r="BX41" s="1415">
        <v>-0.09</v>
      </c>
      <c r="BY41" s="1248">
        <f>SQRT(BZ41^2+CA41^2)*1000/(1.73*BZ14)</f>
        <v>77.378096465981443</v>
      </c>
      <c r="BZ41" s="1254">
        <v>1.3919999999999999</v>
      </c>
      <c r="CA41" s="1415">
        <v>-2.2800000000000001E-2</v>
      </c>
    </row>
    <row r="42" spans="1:79" x14ac:dyDescent="0.2">
      <c r="A42" s="1133">
        <v>10</v>
      </c>
      <c r="B42" s="1477" t="s">
        <v>334</v>
      </c>
      <c r="C42" s="1233"/>
      <c r="D42" s="1419"/>
      <c r="E42" s="1235"/>
      <c r="F42" s="1236"/>
      <c r="G42" s="1237"/>
      <c r="H42" s="1480">
        <f>SQRT(I42^2+J42^2)*1000/(1.73*I22)</f>
        <v>52.466981552832742</v>
      </c>
      <c r="I42" s="1254">
        <v>0.94199999999999995</v>
      </c>
      <c r="J42" s="1415">
        <v>-6.1199999999999997E-2</v>
      </c>
      <c r="K42" s="1248">
        <f>SQRT(L42^2+M42^2)*1000/(1.73*L22)</f>
        <v>47.79077968792091</v>
      </c>
      <c r="L42" s="1254">
        <v>0.85799999999999998</v>
      </c>
      <c r="M42" s="1415">
        <v>-5.6399999999999999E-2</v>
      </c>
      <c r="N42" s="1248">
        <f>SQRT(O42^2+P42^2)*1000/(1.73*O22)</f>
        <v>44.225638340377422</v>
      </c>
      <c r="O42" s="1254">
        <v>0.7944</v>
      </c>
      <c r="P42" s="1415">
        <v>-4.5600000000000002E-2</v>
      </c>
      <c r="Q42" s="1248">
        <f>SQRT(R42^2+S42^2)*1000/(1.73*R22)</f>
        <v>41.832837685488428</v>
      </c>
      <c r="R42" s="1254">
        <v>0.75119999999999998</v>
      </c>
      <c r="S42" s="1415">
        <v>-4.6800000000000001E-2</v>
      </c>
      <c r="T42" s="1248">
        <f>SQRT(U42^2+V42^2)*1000/(1.73*U22)</f>
        <v>40.805334131451737</v>
      </c>
      <c r="U42" s="1254">
        <v>0.73199999999999998</v>
      </c>
      <c r="V42" s="1415">
        <v>-5.6399999999999999E-2</v>
      </c>
      <c r="W42" s="1248">
        <f>SQRT(X42^2+Y42^2)*1000/(1.73*X22)</f>
        <v>41.680124191549886</v>
      </c>
      <c r="X42" s="1254">
        <v>0.74760000000000004</v>
      </c>
      <c r="Y42" s="1415">
        <v>-5.8799999999999998E-2</v>
      </c>
      <c r="Z42" s="1248">
        <f>SQRT(AA42^2+AB42^2)*1000/(1.73*AA22)</f>
        <v>53.256282687247037</v>
      </c>
      <c r="AA42" s="1254">
        <v>0.95520000000000005</v>
      </c>
      <c r="AB42" s="1415">
        <v>-7.5600000000000001E-2</v>
      </c>
      <c r="AC42" s="1248">
        <f>SQRT(AD42^2+AE42^2)*1000/(1.73*AD22)</f>
        <v>63.072637303995009</v>
      </c>
      <c r="AD42" s="1254">
        <v>1.1315999999999999</v>
      </c>
      <c r="AE42" s="1415">
        <v>-8.5199999999999998E-2</v>
      </c>
      <c r="AF42" s="1248">
        <f>SQRT(AG42^2+AH42^2)*1000/(1.73*AG22)</f>
        <v>62.269533360987211</v>
      </c>
      <c r="AG42" s="1254">
        <v>1.1172</v>
      </c>
      <c r="AH42" s="1415">
        <v>-8.4000000000000005E-2</v>
      </c>
      <c r="AI42" s="1248">
        <f>SQRT(AJ42^2+AK42^2)*1000/(1.73*AJ22)</f>
        <v>58.021495985053811</v>
      </c>
      <c r="AJ42" s="1254">
        <v>1.0416000000000001</v>
      </c>
      <c r="AK42" s="1415">
        <v>-6.9599999999999995E-2</v>
      </c>
      <c r="AL42" s="1248">
        <f>SQRT(AM42^2+AN42^2)*1000/(1.73*AM22)</f>
        <v>57.983034186333235</v>
      </c>
      <c r="AM42" s="1254">
        <v>1.0404</v>
      </c>
      <c r="AN42" s="1415">
        <v>-7.6799999999999993E-2</v>
      </c>
      <c r="AO42" s="1248">
        <f>SQRT(AP42^2+AQ42^2)*1000/(1.73*AP22)</f>
        <v>56.553003901195794</v>
      </c>
      <c r="AP42" s="1254">
        <v>1.0152000000000001</v>
      </c>
      <c r="AQ42" s="1415">
        <v>-6.8400000000000002E-2</v>
      </c>
      <c r="AR42" s="1248">
        <f>SQRT(AS42^2+AT42^2)*1000/(1.73*AS22)</f>
        <v>56.082713294493644</v>
      </c>
      <c r="AS42" s="1254">
        <v>1.0067999999999999</v>
      </c>
      <c r="AT42" s="1415">
        <v>-6.7199999999999996E-2</v>
      </c>
      <c r="AU42" s="1248">
        <f>SQRT(AV42^2+AW42^2)*1000/(1.73*AV22)</f>
        <v>57.613413312990481</v>
      </c>
      <c r="AV42" s="1254">
        <v>1.0344</v>
      </c>
      <c r="AW42" s="1415">
        <v>-6.7199999999999996E-2</v>
      </c>
      <c r="AX42" s="1248">
        <f>SQRT(AY42^2+AZ42^2)*1000/(1.73*AY22)</f>
        <v>57.384413207830427</v>
      </c>
      <c r="AY42" s="1254">
        <v>1.0296000000000001</v>
      </c>
      <c r="AZ42" s="1415">
        <v>-7.6799999999999993E-2</v>
      </c>
      <c r="BA42" s="1248">
        <f>SQRT(BB42^2+BC42^2)*1000/(1.73*BB22)</f>
        <v>57.775868158503457</v>
      </c>
      <c r="BB42" s="1254">
        <v>1.0356000000000001</v>
      </c>
      <c r="BC42" s="1415">
        <v>-0.09</v>
      </c>
      <c r="BD42" s="1248">
        <f>SQRT(BE42^2+BF42^2)*1000/(1.73*BE22)</f>
        <v>62.372746862190738</v>
      </c>
      <c r="BE42" s="1254">
        <v>1.1184000000000001</v>
      </c>
      <c r="BF42" s="1415">
        <v>-9.2399999999999996E-2</v>
      </c>
      <c r="BG42" s="1248">
        <f>SQRT(BH42^2+BI42^2)*1000/(1.73*BH22)</f>
        <v>65.125556653521002</v>
      </c>
      <c r="BH42" s="1254">
        <v>1.1676</v>
      </c>
      <c r="BI42" s="1415">
        <v>-9.8400000000000001E-2</v>
      </c>
      <c r="BJ42" s="1248">
        <f>SQRT(BK42^2+BL42^2)*1000/(1.73*BK22)</f>
        <v>68.255094870126271</v>
      </c>
      <c r="BK42" s="1254">
        <v>1.224</v>
      </c>
      <c r="BL42" s="1415">
        <v>-9.9599999999999994E-2</v>
      </c>
      <c r="BM42" s="1248">
        <f>SQRT(BN42^2+BO42^2)*1000/(1.73*BN22)</f>
        <v>68.223804598840587</v>
      </c>
      <c r="BN42" s="1254">
        <v>1.224</v>
      </c>
      <c r="BO42" s="1415">
        <v>-9.2399999999999996E-2</v>
      </c>
      <c r="BP42" s="1248">
        <f>SQRT(BQ42^2+BR42^2)*1000/(1.73*BQ22)</f>
        <v>69.723008908635251</v>
      </c>
      <c r="BQ42" s="1254">
        <v>1.2504</v>
      </c>
      <c r="BR42" s="1415">
        <v>-0.1008</v>
      </c>
      <c r="BS42" s="1248">
        <f>SQRT(BT42^2+BU42^2)*1000/(1.73*BT22)</f>
        <v>68.066647332078588</v>
      </c>
      <c r="BT42" s="1254">
        <v>1.2203999999999999</v>
      </c>
      <c r="BU42" s="1415">
        <v>-0.10199999999999999</v>
      </c>
      <c r="BV42" s="1248">
        <f>SQRT(BW42^2+BX42^2)*1000/(1.73*BW22)</f>
        <v>64.690091138419774</v>
      </c>
      <c r="BW42" s="1254">
        <v>1.1616</v>
      </c>
      <c r="BX42" s="1415">
        <v>-7.3200000000000001E-2</v>
      </c>
      <c r="BY42" s="1248">
        <f>SQRT(BZ42^2+CA42^2)*1000/(1.73*BZ22)</f>
        <v>58.188124832467388</v>
      </c>
      <c r="BZ42" s="1254">
        <v>1.0451999999999999</v>
      </c>
      <c r="CA42" s="1415">
        <v>-0.06</v>
      </c>
    </row>
    <row r="43" spans="1:79" x14ac:dyDescent="0.2">
      <c r="A43" s="1250">
        <v>11</v>
      </c>
      <c r="B43" s="1479" t="s">
        <v>335</v>
      </c>
      <c r="C43" s="1222"/>
      <c r="D43" s="1416"/>
      <c r="E43" s="1224"/>
      <c r="F43" s="1225"/>
      <c r="G43" s="1226"/>
      <c r="H43" s="1480">
        <f>SQRT(I43^2+J43^2)*1000/(1.73*I14)</f>
        <v>8.7730932678798439</v>
      </c>
      <c r="I43" s="1254">
        <v>0.15759999999999999</v>
      </c>
      <c r="J43" s="1415">
        <v>8.8000000000000005E-3</v>
      </c>
      <c r="K43" s="1238">
        <f>SQRT(L43^2+M43^2)*1000/(1.73*L14)</f>
        <v>8.283837963606075</v>
      </c>
      <c r="L43" s="1254">
        <v>0.14799999999999999</v>
      </c>
      <c r="M43" s="1415">
        <v>1.7600000000000001E-2</v>
      </c>
      <c r="N43" s="1238">
        <f>SQRT(O43^2+P43^2)*1000/(1.73*O14)</f>
        <v>8.1810514737877611</v>
      </c>
      <c r="O43" s="1254">
        <v>0.14560000000000001</v>
      </c>
      <c r="P43" s="1415">
        <v>2.1600000000000001E-2</v>
      </c>
      <c r="Q43" s="1238">
        <f>SQRT(R43^2+S43^2)*1000/(1.73*R14)</f>
        <v>7.8540706090022603</v>
      </c>
      <c r="R43" s="1254">
        <v>0.14080000000000001</v>
      </c>
      <c r="S43" s="1415">
        <v>1.2E-2</v>
      </c>
      <c r="T43" s="1238">
        <f>SQRT(U43^2+V43^2)*1000/(1.73*U14)</f>
        <v>7.6059790811918173</v>
      </c>
      <c r="U43" s="1254">
        <v>0.13600000000000001</v>
      </c>
      <c r="V43" s="1415">
        <v>1.52E-2</v>
      </c>
      <c r="W43" s="1238">
        <f>SQRT(X43^2+Y43^2)*1000/(1.73*X14)</f>
        <v>9.069935189672238</v>
      </c>
      <c r="X43" s="1254">
        <v>0.16239999999999999</v>
      </c>
      <c r="Y43" s="1415">
        <v>1.6E-2</v>
      </c>
      <c r="Z43" s="1238">
        <f>SQRT(AA43^2+AB43^2)*1000/(1.73*AA14)</f>
        <v>10.360255487455088</v>
      </c>
      <c r="AA43" s="1254">
        <v>0.18640000000000001</v>
      </c>
      <c r="AB43" s="1415">
        <v>8.0000000000000004E-4</v>
      </c>
      <c r="AC43" s="1238">
        <f>SQRT(AD43^2+AE43^2)*1000/(1.73*AD14)</f>
        <v>15.604972773571369</v>
      </c>
      <c r="AD43" s="1254">
        <v>0.2792</v>
      </c>
      <c r="AE43" s="1415">
        <v>-2.9600000000000001E-2</v>
      </c>
      <c r="AF43" s="1238">
        <f>SQRT(AG43^2+AH43^2)*1000/(1.73*AG14)</f>
        <v>18.976998209063435</v>
      </c>
      <c r="AG43" s="1254">
        <v>0.34079999999999999</v>
      </c>
      <c r="AH43" s="1415">
        <v>-2.0799999999999999E-2</v>
      </c>
      <c r="AI43" s="1238">
        <f>SQRT(AJ43^2+AK43^2)*1000/(1.73*AJ14)</f>
        <v>16.374664653690772</v>
      </c>
      <c r="AJ43" s="1254">
        <v>0.2944</v>
      </c>
      <c r="AK43" s="1415">
        <v>-1.12E-2</v>
      </c>
      <c r="AL43" s="1238">
        <f>SQRT(AM43^2+AN43^2)*1000/(1.73*AM14)</f>
        <v>15.79887772738094</v>
      </c>
      <c r="AM43" s="1254">
        <v>0.28399999999999997</v>
      </c>
      <c r="AN43" s="1415">
        <v>-1.2E-2</v>
      </c>
      <c r="AO43" s="1238">
        <f>SQRT(AP43^2+AQ43^2)*1000/(1.73*AP14)</f>
        <v>16.368868141050246</v>
      </c>
      <c r="AP43" s="1254">
        <v>0.2944</v>
      </c>
      <c r="AQ43" s="1415">
        <v>-8.0000000000000002E-3</v>
      </c>
      <c r="AR43" s="1238">
        <f>SQRT(AS43^2+AT43^2)*1000/(1.73*AS14)</f>
        <v>16.233333068310454</v>
      </c>
      <c r="AS43" s="1254">
        <v>0.29199999999999998</v>
      </c>
      <c r="AT43" s="1415">
        <v>-6.4000000000000003E-3</v>
      </c>
      <c r="AU43" s="1238">
        <f>SQRT(AV43^2+AW43^2)*1000/(1.73*AV14)</f>
        <v>15.697376287131487</v>
      </c>
      <c r="AV43" s="1254">
        <v>0.28160000000000002</v>
      </c>
      <c r="AW43" s="1415">
        <v>-2.1600000000000001E-2</v>
      </c>
      <c r="AX43" s="1238">
        <f>SQRT(AY43^2+AZ43^2)*1000/(1.73*AY14)</f>
        <v>15.450272028385324</v>
      </c>
      <c r="AY43" s="1254">
        <v>0.27679999999999999</v>
      </c>
      <c r="AZ43" s="1415">
        <v>-2.5600000000000001E-2</v>
      </c>
      <c r="BA43" s="1238">
        <f>SQRT(BB43^2+BC43^2)*1000/(1.73*BB14)</f>
        <v>14.394664453466207</v>
      </c>
      <c r="BB43" s="1254">
        <v>0.25679999999999997</v>
      </c>
      <c r="BC43" s="1415">
        <v>-3.3599999999999998E-2</v>
      </c>
      <c r="BD43" s="1238">
        <f>SQRT(BE43^2+BF43^2)*1000/(1.73*BE14)</f>
        <v>14.030482850581897</v>
      </c>
      <c r="BE43" s="1254">
        <v>0.25040000000000001</v>
      </c>
      <c r="BF43" s="1415">
        <v>-3.2000000000000001E-2</v>
      </c>
      <c r="BG43" s="1238">
        <f>SQRT(BH43^2+BI43^2)*1000/(1.73*BH14)</f>
        <v>13.827796264904366</v>
      </c>
      <c r="BH43" s="1254">
        <v>0.24640000000000001</v>
      </c>
      <c r="BI43" s="1415">
        <v>-3.44E-2</v>
      </c>
      <c r="BJ43" s="1238">
        <f>SQRT(BK43^2+BL43^2)*1000/(1.73*BK14)</f>
        <v>14.450525015619041</v>
      </c>
      <c r="BK43" s="1254">
        <v>0.2576</v>
      </c>
      <c r="BL43" s="1415">
        <v>-3.5200000000000002E-2</v>
      </c>
      <c r="BM43" s="1238">
        <f>SQRT(BN43^2+BO43^2)*1000/(1.73*BN14)</f>
        <v>14.274118325966697</v>
      </c>
      <c r="BN43" s="1254">
        <v>0.25519999999999998</v>
      </c>
      <c r="BO43" s="1415">
        <v>-2.8799999999999999E-2</v>
      </c>
      <c r="BP43" s="1238">
        <f>SQRT(BQ43^2+BR43^2)*1000/(1.73*BQ14)</f>
        <v>13.341410824386038</v>
      </c>
      <c r="BQ43" s="1254">
        <v>0.2384</v>
      </c>
      <c r="BR43" s="1415">
        <v>-2.8000000000000001E-2</v>
      </c>
      <c r="BS43" s="1238">
        <f>SQRT(BT43^2+BU43^2)*1000/(1.73*BT14)</f>
        <v>11.399845562725744</v>
      </c>
      <c r="BT43" s="1254">
        <v>0.20480000000000001</v>
      </c>
      <c r="BU43" s="1415">
        <v>-1.12E-2</v>
      </c>
      <c r="BV43" s="1238">
        <f>SQRT(BW43^2+BX43^2)*1000/(1.73*BW14)</f>
        <v>10.582854744908664</v>
      </c>
      <c r="BW43" s="1254">
        <v>0.19040000000000001</v>
      </c>
      <c r="BX43" s="1415">
        <v>-1.6000000000000001E-3</v>
      </c>
      <c r="BY43" s="1238">
        <f>SQRT(BZ43^2+CA43^2)*1000/(1.73*BZ14)</f>
        <v>9.1151622943530448</v>
      </c>
      <c r="BZ43" s="1254">
        <v>0.16400000000000001</v>
      </c>
      <c r="CA43" s="1415">
        <v>0</v>
      </c>
    </row>
    <row r="44" spans="1:79" x14ac:dyDescent="0.2">
      <c r="A44" s="1133">
        <v>12</v>
      </c>
      <c r="B44" s="1477" t="s">
        <v>336</v>
      </c>
      <c r="C44" s="1233"/>
      <c r="D44" s="1419"/>
      <c r="E44" s="1235"/>
      <c r="F44" s="1236"/>
      <c r="G44" s="1237"/>
      <c r="H44" s="1480">
        <f>SQRT(I44^2+J44^2)*1000/(1.73*I22)</f>
        <v>5.9164133739586262</v>
      </c>
      <c r="I44" s="1254">
        <v>0.10639999999999999</v>
      </c>
      <c r="J44" s="1415">
        <v>-3.2000000000000002E-3</v>
      </c>
      <c r="K44" s="1238">
        <f>SQRT(L44^2+M44^2)*1000/(1.73*L22)</f>
        <v>5.566733951821873</v>
      </c>
      <c r="L44" s="1254">
        <v>0.1</v>
      </c>
      <c r="M44" s="1415">
        <v>5.5999999999999999E-3</v>
      </c>
      <c r="N44" s="1238">
        <f>SQRT(O44^2+P44^2)*1000/(1.73*O22)</f>
        <v>5.2942288978288277</v>
      </c>
      <c r="O44" s="1254">
        <v>9.5200000000000007E-2</v>
      </c>
      <c r="P44" s="1415">
        <v>3.2000000000000002E-3</v>
      </c>
      <c r="Q44" s="1238">
        <f>SQRT(R44^2+S44^2)*1000/(1.73*R22)</f>
        <v>5.6278407584870571</v>
      </c>
      <c r="R44" s="1254">
        <v>0.1008</v>
      </c>
      <c r="S44" s="1415">
        <v>9.5999999999999992E-3</v>
      </c>
      <c r="T44" s="1238">
        <f>SQRT(U44^2+V44^2)*1000/(1.73*U22)</f>
        <v>5.672106241124121</v>
      </c>
      <c r="U44" s="1254">
        <v>0.1016</v>
      </c>
      <c r="V44" s="1415">
        <v>9.5999999999999992E-3</v>
      </c>
      <c r="W44" s="1238">
        <f>SQRT(X44^2+Y44^2)*1000/(1.73*X22)</f>
        <v>6.428884605400973</v>
      </c>
      <c r="X44" s="1254">
        <v>0.1152</v>
      </c>
      <c r="Y44" s="1415">
        <v>1.04E-2</v>
      </c>
      <c r="Z44" s="1238">
        <f>SQRT(AA44^2+AB44^2)*1000/(1.73*AA22)</f>
        <v>9.5800503244805562</v>
      </c>
      <c r="AA44" s="1254">
        <v>0.17199999999999999</v>
      </c>
      <c r="AB44" s="1415">
        <v>1.12E-2</v>
      </c>
      <c r="AC44" s="1238">
        <f>SQRT(AD44^2+AE44^2)*1000/(1.73*AD22)</f>
        <v>12.564423483485941</v>
      </c>
      <c r="AD44" s="1254">
        <v>0.22559999999999999</v>
      </c>
      <c r="AE44" s="1415">
        <v>1.44E-2</v>
      </c>
      <c r="AF44" s="1238">
        <f>SQRT(AG44^2+AH44^2)*1000/(1.73*AG22)</f>
        <v>12.820812671962168</v>
      </c>
      <c r="AG44" s="1254">
        <v>0.23039999999999999</v>
      </c>
      <c r="AH44" s="1415">
        <v>1.12E-2</v>
      </c>
      <c r="AI44" s="1238">
        <f>SQRT(AJ44^2+AK44^2)*1000/(1.73*AJ22)</f>
        <v>12.13946122805171</v>
      </c>
      <c r="AJ44" s="1254">
        <v>0.21840000000000001</v>
      </c>
      <c r="AK44" s="1415">
        <v>-2.3999999999999998E-3</v>
      </c>
      <c r="AL44" s="1238">
        <f>SQRT(AM44^2+AN44^2)*1000/(1.73*AM22)</f>
        <v>11.471851399609495</v>
      </c>
      <c r="AM44" s="1254">
        <v>0.2064</v>
      </c>
      <c r="AN44" s="1415">
        <v>-8.0000000000000004E-4</v>
      </c>
      <c r="AO44" s="1238">
        <f>SQRT(AP44^2+AQ44^2)*1000/(1.73*AP22)</f>
        <v>10.894547205802658</v>
      </c>
      <c r="AP44" s="1254">
        <v>0.19600000000000001</v>
      </c>
      <c r="AQ44" s="1415">
        <v>2.3999999999999998E-3</v>
      </c>
      <c r="AR44" s="1238">
        <f>SQRT(AS44^2+AT44^2)*1000/(1.73*AS22)</f>
        <v>11.119252540461757</v>
      </c>
      <c r="AS44" s="1254">
        <v>0.2</v>
      </c>
      <c r="AT44" s="1415">
        <v>4.7999999999999996E-3</v>
      </c>
      <c r="AU44" s="1238">
        <f>SQRT(AV44^2+AW44^2)*1000/(1.73*AV22)</f>
        <v>10.694542881997059</v>
      </c>
      <c r="AV44" s="1254">
        <v>0.19120000000000001</v>
      </c>
      <c r="AW44" s="1415">
        <v>2.1600000000000001E-2</v>
      </c>
      <c r="AX44" s="1238">
        <f>SQRT(AY44^2+AZ44^2)*1000/(1.73*AY22)</f>
        <v>10.495530784009206</v>
      </c>
      <c r="AY44" s="1254">
        <v>0.18720000000000001</v>
      </c>
      <c r="AZ44" s="1415">
        <v>2.4799999999999999E-2</v>
      </c>
      <c r="BA44" s="1238">
        <f>SQRT(BB44^2+BC44^2)*1000/(1.73*BB22)</f>
        <v>11.474866963596213</v>
      </c>
      <c r="BB44" s="1254">
        <v>0.2064</v>
      </c>
      <c r="BC44" s="1415">
        <v>4.7999999999999996E-3</v>
      </c>
      <c r="BD44" s="1238">
        <f>SQRT(BE44^2+BF44^2)*1000/(1.73*BE22)</f>
        <v>12.098268502459009</v>
      </c>
      <c r="BE44" s="1254">
        <v>0.21759999999999999</v>
      </c>
      <c r="BF44" s="1415">
        <v>5.5999999999999999E-3</v>
      </c>
      <c r="BG44" s="1238">
        <f>SQRT(BH44^2+BI44^2)*1000/(1.73*BH22)</f>
        <v>12.584627262762154</v>
      </c>
      <c r="BH44" s="1254">
        <v>0.22639999999999999</v>
      </c>
      <c r="BI44" s="1415">
        <v>-3.2000000000000002E-3</v>
      </c>
      <c r="BJ44" s="1238">
        <f>SQRT(BK44^2+BL44^2)*1000/(1.73*BK22)</f>
        <v>11.575135488150742</v>
      </c>
      <c r="BK44" s="1254">
        <v>0.20799999999999999</v>
      </c>
      <c r="BL44" s="1415">
        <v>-1.04E-2</v>
      </c>
      <c r="BM44" s="1238">
        <f>SQRT(BN44^2+BO44^2)*1000/(1.73*BN22)</f>
        <v>10.813947277719427</v>
      </c>
      <c r="BN44" s="1254">
        <v>0.19439999999999999</v>
      </c>
      <c r="BO44" s="1415">
        <v>-8.0000000000000002E-3</v>
      </c>
      <c r="BP44" s="1238">
        <f>SQRT(BQ44^2+BR44^2)*1000/(1.73*BQ22)</f>
        <v>10.09964097014497</v>
      </c>
      <c r="BQ44" s="1254">
        <v>0.18160000000000001</v>
      </c>
      <c r="BR44" s="1415">
        <v>-6.4000000000000003E-3</v>
      </c>
      <c r="BS44" s="1238">
        <f>SQRT(BT44^2+BU44^2)*1000/(1.73*BT22)</f>
        <v>9.2939764335940325</v>
      </c>
      <c r="BT44" s="1254">
        <v>0.16719999999999999</v>
      </c>
      <c r="BU44" s="1415">
        <v>-2.3999999999999998E-3</v>
      </c>
      <c r="BV44" s="1238">
        <f>SQRT(BW44^2+BX44^2)*1000/(1.73*BW22)</f>
        <v>8.2703423743886155</v>
      </c>
      <c r="BW44" s="1254">
        <v>0.14879999999999999</v>
      </c>
      <c r="BX44" s="1415">
        <v>0</v>
      </c>
      <c r="BY44" s="1238">
        <f>SQRT(BZ44^2+CA44^2)*1000/(1.73*BZ22)</f>
        <v>7.3815939419998697</v>
      </c>
      <c r="BZ44" s="1254">
        <v>0.1328</v>
      </c>
      <c r="CA44" s="1415">
        <v>1.6000000000000001E-3</v>
      </c>
    </row>
    <row r="45" spans="1:79" x14ac:dyDescent="0.2">
      <c r="A45" s="1250">
        <v>13</v>
      </c>
      <c r="B45" s="1483" t="s">
        <v>337</v>
      </c>
      <c r="C45" s="1233"/>
      <c r="D45" s="1419"/>
      <c r="E45" s="1235"/>
      <c r="F45" s="1236"/>
      <c r="G45" s="1237"/>
      <c r="H45" s="1480">
        <f>SQRT(I45^2+J45^2)*1000/(1.73*I14)</f>
        <v>31.050481021430947</v>
      </c>
      <c r="I45" s="1254">
        <v>0.51719999999999999</v>
      </c>
      <c r="J45" s="1415">
        <v>0.2112</v>
      </c>
      <c r="K45" s="1238">
        <f>SQRT(L45^2+M45^2)*1000/(1.73*L14)</f>
        <v>30.69602995491163</v>
      </c>
      <c r="L45" s="1254">
        <v>0.50880000000000003</v>
      </c>
      <c r="M45" s="1415">
        <v>0.21479999999999999</v>
      </c>
      <c r="N45" s="1238">
        <f>SQRT(O45^2+P45^2)*1000/(1.73*O14)</f>
        <v>29.776895838357323</v>
      </c>
      <c r="O45" s="1254">
        <v>0.49080000000000001</v>
      </c>
      <c r="P45" s="1415">
        <v>0.21479999999999999</v>
      </c>
      <c r="Q45" s="1238">
        <f>SQRT(R45^2+S45^2)*1000/(1.73*R14)</f>
        <v>29.593701921171196</v>
      </c>
      <c r="R45" s="1254">
        <v>0.48720000000000002</v>
      </c>
      <c r="S45" s="1415">
        <v>0.21479999999999999</v>
      </c>
      <c r="T45" s="1238">
        <f>SQRT(U45^2+V45^2)*1000/(1.73*U14)</f>
        <v>30.182861990980186</v>
      </c>
      <c r="U45" s="1254">
        <v>0.49559999999999998</v>
      </c>
      <c r="V45" s="1415">
        <v>0.222</v>
      </c>
      <c r="W45" s="1238">
        <f>SQRT(X45^2+Y45^2)*1000/(1.73*X14)</f>
        <v>30.792755036108215</v>
      </c>
      <c r="X45" s="1254">
        <v>0.50760000000000005</v>
      </c>
      <c r="Y45" s="1415">
        <v>0.222</v>
      </c>
      <c r="Z45" s="1238">
        <f>SQRT(AA45^2+AB45^2)*1000/(1.73*AA14)</f>
        <v>35.63618205342577</v>
      </c>
      <c r="AA45" s="1254">
        <v>0.5988</v>
      </c>
      <c r="AB45" s="1415">
        <v>0.22919999999999999</v>
      </c>
      <c r="AC45" s="1238">
        <f>SQRT(AD45^2+AE45^2)*1000/(1.73*AD14)</f>
        <v>39.046061188128299</v>
      </c>
      <c r="AD45" s="1254">
        <v>0.66239999999999999</v>
      </c>
      <c r="AE45" s="1415">
        <v>0.23400000000000001</v>
      </c>
      <c r="AF45" s="1238">
        <f>SQRT(AG45^2+AH45^2)*1000/(1.73*AG14)</f>
        <v>38.12165249352929</v>
      </c>
      <c r="AG45" s="1254">
        <v>0.64559999999999995</v>
      </c>
      <c r="AH45" s="1415">
        <v>0.2316</v>
      </c>
      <c r="AI45" s="1238">
        <f>SQRT(AJ45^2+AK45^2)*1000/(1.73*AJ14)</f>
        <v>38.206973749118987</v>
      </c>
      <c r="AJ45" s="1254">
        <v>0.64680000000000004</v>
      </c>
      <c r="AK45" s="1415">
        <v>0.23280000000000001</v>
      </c>
      <c r="AL45" s="1238">
        <f>SQRT(AM45^2+AN45^2)*1000/(1.73*AM14)</f>
        <v>40.056284282701426</v>
      </c>
      <c r="AM45" s="1254">
        <v>0.6804</v>
      </c>
      <c r="AN45" s="1415">
        <v>0.23760000000000001</v>
      </c>
      <c r="AO45" s="1238">
        <f>SQRT(AP45^2+AQ45^2)*1000/(1.73*AP14)</f>
        <v>39.208638228336604</v>
      </c>
      <c r="AP45" s="1254">
        <v>0.66959999999999997</v>
      </c>
      <c r="AQ45" s="1415">
        <v>0.222</v>
      </c>
      <c r="AR45" s="1238">
        <f>SQRT(AS45^2+AT45^2)*1000/(1.73*AS14)</f>
        <v>40.474989377146443</v>
      </c>
      <c r="AS45" s="1254">
        <v>0.69240000000000002</v>
      </c>
      <c r="AT45" s="1415">
        <v>0.22559999999999999</v>
      </c>
      <c r="AU45" s="1238">
        <f>SQRT(AV45^2+AW45^2)*1000/(1.73*AV14)</f>
        <v>39.931042046544071</v>
      </c>
      <c r="AV45" s="1254">
        <v>0.68520000000000003</v>
      </c>
      <c r="AW45" s="1415">
        <v>0.216</v>
      </c>
      <c r="AX45" s="1238">
        <f>SQRT(AY45^2+AZ45^2)*1000/(1.73*AY14)</f>
        <v>37.057288231374208</v>
      </c>
      <c r="AY45" s="1254">
        <v>0.63239999999999996</v>
      </c>
      <c r="AZ45" s="1415">
        <v>0.2112</v>
      </c>
      <c r="BA45" s="1238">
        <f>SQRT(BB45^2+BC45^2)*1000/(1.73*BB14)</f>
        <v>41.465691537140756</v>
      </c>
      <c r="BB45" s="1254">
        <v>0.70679999999999998</v>
      </c>
      <c r="BC45" s="1415">
        <v>0.23880000000000001</v>
      </c>
      <c r="BD45" s="1238">
        <f>SQRT(BE45^2+BF45^2)*1000/(1.73*BE14)</f>
        <v>43.047236615793508</v>
      </c>
      <c r="BE45" s="1254">
        <v>0.73440000000000005</v>
      </c>
      <c r="BF45" s="1415">
        <v>0.246</v>
      </c>
      <c r="BG45" s="1238">
        <f>SQRT(BH45^2+BI45^2)*1000/(1.73*BH14)</f>
        <v>43.216172101559373</v>
      </c>
      <c r="BH45" s="1254">
        <v>0.73680000000000001</v>
      </c>
      <c r="BI45" s="1415">
        <v>0.24840000000000001</v>
      </c>
      <c r="BJ45" s="1238">
        <f>SQRT(BK45^2+BL45^2)*1000/(1.73*BK14)</f>
        <v>44.777072910198662</v>
      </c>
      <c r="BK45" s="1254">
        <v>0.76319999999999999</v>
      </c>
      <c r="BL45" s="1415">
        <v>0.25800000000000001</v>
      </c>
      <c r="BM45" s="1238">
        <f>SQRT(BN45^2+BO45^2)*1000/(1.73*BN14)</f>
        <v>46.46454777026262</v>
      </c>
      <c r="BN45" s="1254">
        <v>0.7944</v>
      </c>
      <c r="BO45" s="1415">
        <v>0.26040000000000002</v>
      </c>
      <c r="BP45" s="1238">
        <f>SQRT(BQ45^2+BR45^2)*1000/(1.73*BQ14)</f>
        <v>48.910591576041213</v>
      </c>
      <c r="BQ45" s="1254">
        <v>0.83520000000000005</v>
      </c>
      <c r="BR45" s="1415">
        <v>0.2772</v>
      </c>
      <c r="BS45" s="1238">
        <f>SQRT(BT45^2+BU45^2)*1000/(1.73*BT14)</f>
        <v>46.822994404284188</v>
      </c>
      <c r="BT45" s="1254">
        <v>0.79800000000000004</v>
      </c>
      <c r="BU45" s="1415">
        <v>0.27</v>
      </c>
      <c r="BV45" s="1238">
        <f>SQRT(BW45^2+BX45^2)*1000/(1.73*BW14)</f>
        <v>42.195629847629966</v>
      </c>
      <c r="BW45" s="1254">
        <v>0.71399999999999997</v>
      </c>
      <c r="BX45" s="1415">
        <v>0.25800000000000001</v>
      </c>
      <c r="BY45" s="1238">
        <f>SQRT(BZ45^2+CA45^2)*1000/(1.73*BZ14)</f>
        <v>38.047365571965422</v>
      </c>
      <c r="BZ45" s="1254">
        <v>0.63600000000000001</v>
      </c>
      <c r="CA45" s="1415">
        <v>0.25319999999999998</v>
      </c>
    </row>
    <row r="46" spans="1:79" x14ac:dyDescent="0.2">
      <c r="A46" s="1133">
        <v>14</v>
      </c>
      <c r="B46" s="1483" t="s">
        <v>338</v>
      </c>
      <c r="C46" s="1233"/>
      <c r="D46" s="1419"/>
      <c r="E46" s="1235"/>
      <c r="F46" s="1236"/>
      <c r="G46" s="1237"/>
      <c r="H46" s="1480">
        <f>SQRT(I46^2+J46^2)*1000/(1.73*I22)</f>
        <v>32.275018827522864</v>
      </c>
      <c r="I46" s="1254">
        <v>0.52200000000000002</v>
      </c>
      <c r="J46" s="1415">
        <v>0.25440000000000002</v>
      </c>
      <c r="K46" s="1238">
        <f>SQRT(L46^2+M46^2)*1000/(1.73*L22)</f>
        <v>30.69718927452454</v>
      </c>
      <c r="L46" s="1254">
        <v>0.48959999999999998</v>
      </c>
      <c r="M46" s="1415">
        <v>0.25559999999999999</v>
      </c>
      <c r="N46" s="1238">
        <f>SQRT(O46^2+P46^2)*1000/(1.73*O22)</f>
        <v>29.442700358735333</v>
      </c>
      <c r="O46" s="1254">
        <v>0.47039999999999998</v>
      </c>
      <c r="P46" s="1415">
        <v>0.24360000000000001</v>
      </c>
      <c r="Q46" s="1238">
        <f>SQRT(R46^2+S46^2)*1000/(1.73*R22)</f>
        <v>28.995333609889702</v>
      </c>
      <c r="R46" s="1254">
        <v>0.4632</v>
      </c>
      <c r="S46" s="1415">
        <v>0.24</v>
      </c>
      <c r="T46" s="1238">
        <f>SQRT(U46^2+V46^2)*1000/(1.73*U22)</f>
        <v>28.33769137154141</v>
      </c>
      <c r="U46" s="1254">
        <v>0.4536</v>
      </c>
      <c r="V46" s="1415">
        <v>0.23280000000000001</v>
      </c>
      <c r="W46" s="1238">
        <f>SQRT(X46^2+Y46^2)*1000/(1.73*X22)</f>
        <v>28.785079416916634</v>
      </c>
      <c r="X46" s="1254">
        <v>0.46079999999999999</v>
      </c>
      <c r="Y46" s="1415">
        <v>0.2364</v>
      </c>
      <c r="Z46" s="1238">
        <f>SQRT(AA46^2+AB46^2)*1000/(1.73*AA22)</f>
        <v>31.573007223285394</v>
      </c>
      <c r="AA46" s="1254">
        <v>0.52439999999999998</v>
      </c>
      <c r="AB46" s="1415">
        <v>0.21840000000000001</v>
      </c>
      <c r="AC46" s="1238">
        <f>SQRT(AD46^2+AE46^2)*1000/(1.73*AD22)</f>
        <v>33.34315213700463</v>
      </c>
      <c r="AD46" s="1254">
        <v>0.5544</v>
      </c>
      <c r="AE46" s="1415">
        <v>0.22919999999999999</v>
      </c>
      <c r="AF46" s="1238">
        <f>SQRT(AG46^2+AH46^2)*1000/(1.73*AG22)</f>
        <v>33.727829771188041</v>
      </c>
      <c r="AG46" s="1254">
        <v>0.56040000000000001</v>
      </c>
      <c r="AH46" s="1415">
        <v>0.23280000000000001</v>
      </c>
      <c r="AI46" s="1238">
        <f>SQRT(AJ46^2+AK46^2)*1000/(1.73*AJ22)</f>
        <v>32.981780237576814</v>
      </c>
      <c r="AJ46" s="1254">
        <v>0.55079999999999996</v>
      </c>
      <c r="AK46" s="1415">
        <v>0.2208</v>
      </c>
      <c r="AL46" s="1238">
        <f>SQRT(AM46^2+AN46^2)*1000/(1.73*AM22)</f>
        <v>35.214767158145555</v>
      </c>
      <c r="AM46" s="1254">
        <v>0.59160000000000001</v>
      </c>
      <c r="AN46" s="1415">
        <v>0.2268</v>
      </c>
      <c r="AO46" s="1238">
        <f>SQRT(AP46^2+AQ46^2)*1000/(1.73*AP22)</f>
        <v>33.912433610842726</v>
      </c>
      <c r="AP46" s="1254">
        <v>0.56879999999999997</v>
      </c>
      <c r="AQ46" s="1415">
        <v>0.2208</v>
      </c>
      <c r="AR46" s="1238">
        <f>SQRT(AS46^2+AT46^2)*1000/(1.73*AS22)</f>
        <v>33.985549359098286</v>
      </c>
      <c r="AS46" s="1254">
        <v>0.56640000000000001</v>
      </c>
      <c r="AT46" s="1415">
        <v>0.23039999999999999</v>
      </c>
      <c r="AU46" s="1238">
        <f>SQRT(AV46^2+AW46^2)*1000/(1.73*AV22)</f>
        <v>33.254247504592293</v>
      </c>
      <c r="AV46" s="1254">
        <v>0.55559999999999998</v>
      </c>
      <c r="AW46" s="1415">
        <v>0.222</v>
      </c>
      <c r="AX46" s="1238">
        <f>SQRT(AY46^2+AZ46^2)*1000/(1.73*AY22)</f>
        <v>33.340950755901275</v>
      </c>
      <c r="AY46" s="1254">
        <v>0.55679999999999996</v>
      </c>
      <c r="AZ46" s="1415">
        <v>0.22320000000000001</v>
      </c>
      <c r="BA46" s="1238">
        <f>SQRT(BB46^2+BC46^2)*1000/(1.73*BB22)</f>
        <v>34.307067147634029</v>
      </c>
      <c r="BB46" s="1254">
        <v>0.5736</v>
      </c>
      <c r="BC46" s="1415">
        <v>0.22800000000000001</v>
      </c>
      <c r="BD46" s="1238">
        <f>SQRT(BE46^2+BF46^2)*1000/(1.73*BE22)</f>
        <v>35.471214338077345</v>
      </c>
      <c r="BE46" s="1254">
        <v>0.59279999999999999</v>
      </c>
      <c r="BF46" s="1415">
        <v>0.2364</v>
      </c>
      <c r="BG46" s="1238">
        <f>SQRT(BH46^2+BI46^2)*1000/(1.73*BH22)</f>
        <v>35.89476158117192</v>
      </c>
      <c r="BH46" s="1254">
        <v>0.60240000000000005</v>
      </c>
      <c r="BI46" s="1415">
        <v>0.23280000000000001</v>
      </c>
      <c r="BJ46" s="1238">
        <f>SQRT(BK46^2+BL46^2)*1000/(1.73*BK22)</f>
        <v>37.618728837610909</v>
      </c>
      <c r="BK46" s="1254">
        <v>0.63239999999999996</v>
      </c>
      <c r="BL46" s="1415">
        <v>0.2412</v>
      </c>
      <c r="BM46" s="1238">
        <f>SQRT(BN46^2+BO46^2)*1000/(1.73*BN22)</f>
        <v>37.126367519730891</v>
      </c>
      <c r="BN46" s="1254">
        <v>0.62519999999999998</v>
      </c>
      <c r="BO46" s="1415">
        <v>0.23519999999999999</v>
      </c>
      <c r="BP46" s="1238">
        <f>SQRT(BQ46^2+BR46^2)*1000/(1.73*BQ22)</f>
        <v>37.577022753024082</v>
      </c>
      <c r="BQ46" s="1254">
        <v>0.62880000000000003</v>
      </c>
      <c r="BR46" s="1415">
        <v>0.24840000000000001</v>
      </c>
      <c r="BS46" s="1238">
        <f>SQRT(BT46^2+BU46^2)*1000/(1.73*BT22)</f>
        <v>35.89476158117192</v>
      </c>
      <c r="BT46" s="1254">
        <v>0.60240000000000005</v>
      </c>
      <c r="BU46" s="1415">
        <v>0.23280000000000001</v>
      </c>
      <c r="BV46" s="1238">
        <f>SQRT(BW46^2+BX46^2)*1000/(1.73*BW22)</f>
        <v>36.078758139842456</v>
      </c>
      <c r="BW46" s="1254">
        <v>0.60119999999999996</v>
      </c>
      <c r="BX46" s="1415">
        <v>0.24479999999999999</v>
      </c>
      <c r="BY46" s="1238">
        <f>SQRT(BZ46^2+CA46^2)*1000/(1.73*BZ22)</f>
        <v>34.257824251114087</v>
      </c>
      <c r="BZ46" s="1254">
        <v>0.57120000000000004</v>
      </c>
      <c r="CA46" s="1415">
        <v>0.2316</v>
      </c>
    </row>
    <row r="47" spans="1:79" x14ac:dyDescent="0.2">
      <c r="A47" s="1250">
        <v>15</v>
      </c>
      <c r="B47" s="1477" t="s">
        <v>339</v>
      </c>
      <c r="C47" s="1233"/>
      <c r="D47" s="1419"/>
      <c r="E47" s="1235"/>
      <c r="F47" s="1236"/>
      <c r="G47" s="1237"/>
      <c r="H47" s="1480">
        <f>SQRT(I47^2+J47^2)*1000/(1.73*I14)</f>
        <v>3.6689033008826328</v>
      </c>
      <c r="I47" s="1254">
        <v>-1.1999999999999999E-3</v>
      </c>
      <c r="J47" s="1415">
        <v>-6.6000000000000003E-2</v>
      </c>
      <c r="K47" s="1238">
        <f>SQRT(L47^2+M47^2)*1000/(1.73*L14)</f>
        <v>3.7355887856666374</v>
      </c>
      <c r="L47" s="1254">
        <v>-1.1999999999999999E-3</v>
      </c>
      <c r="M47" s="1415">
        <v>-6.7199999999999996E-2</v>
      </c>
      <c r="N47" s="1238">
        <f>SQRT(O47^2+P47^2)*1000/(1.73*O14)</f>
        <v>3.7355887856666374</v>
      </c>
      <c r="O47" s="1254">
        <v>-1.1999999999999999E-3</v>
      </c>
      <c r="P47" s="1415">
        <v>-6.7199999999999996E-2</v>
      </c>
      <c r="Q47" s="1238">
        <f>SQRT(R47^2+S47^2)*1000/(1.73*R14)</f>
        <v>3.7355887856666374</v>
      </c>
      <c r="R47" s="1254">
        <v>-1.1999999999999999E-3</v>
      </c>
      <c r="S47" s="1415">
        <v>-6.7199999999999996E-2</v>
      </c>
      <c r="T47" s="1238">
        <f>SQRT(U47^2+V47^2)*1000/(1.73*U14)</f>
        <v>3.7373745823357671</v>
      </c>
      <c r="U47" s="1254">
        <v>-2.3999999999999998E-3</v>
      </c>
      <c r="V47" s="1415">
        <v>-6.7199999999999996E-2</v>
      </c>
      <c r="W47" s="1238">
        <f>SQRT(X47^2+Y47^2)*1000/(1.73*X14)</f>
        <v>3.7355887856666374</v>
      </c>
      <c r="X47" s="1254">
        <v>-1.1999999999999999E-3</v>
      </c>
      <c r="Y47" s="1415">
        <v>-6.7199999999999996E-2</v>
      </c>
      <c r="Z47" s="1238">
        <f>SQRT(AA47^2+AB47^2)*1000/(1.73*AA14)</f>
        <v>3.6689033008826328</v>
      </c>
      <c r="AA47" s="1254">
        <v>-1.1999999999999999E-3</v>
      </c>
      <c r="AB47" s="1415">
        <v>-6.6000000000000003E-2</v>
      </c>
      <c r="AC47" s="1238">
        <f>SQRT(AD47^2+AE47^2)*1000/(1.73*AD14)</f>
        <v>3.6689033008826328</v>
      </c>
      <c r="AD47" s="1254">
        <v>-1.1999999999999999E-3</v>
      </c>
      <c r="AE47" s="1415">
        <v>-6.6000000000000003E-2</v>
      </c>
      <c r="AF47" s="1238">
        <f>SQRT(AG47^2+AH47^2)*1000/(1.73*AG14)</f>
        <v>3.6022182169117225</v>
      </c>
      <c r="AG47" s="1254">
        <v>-1.1999999999999999E-3</v>
      </c>
      <c r="AH47" s="1415">
        <v>-6.4799999999999996E-2</v>
      </c>
      <c r="AI47" s="1238">
        <f>SQRT(AJ47^2+AK47^2)*1000/(1.73*AJ14)</f>
        <v>3.5374203484685061</v>
      </c>
      <c r="AJ47" s="1254">
        <v>-2.3999999999999998E-3</v>
      </c>
      <c r="AK47" s="1415">
        <v>-6.3600000000000004E-2</v>
      </c>
      <c r="AL47" s="1238">
        <f>SQRT(AM47^2+AN47^2)*1000/(1.73*AM14)</f>
        <v>3.6022182169117225</v>
      </c>
      <c r="AM47" s="1254">
        <v>-1.1999999999999999E-3</v>
      </c>
      <c r="AN47" s="1415">
        <v>-6.4799999999999996E-2</v>
      </c>
      <c r="AO47" s="1238">
        <f>SQRT(AP47^2+AQ47^2)*1000/(1.73*AP14)</f>
        <v>3.6022182169117225</v>
      </c>
      <c r="AP47" s="1254">
        <v>-1.1999999999999999E-3</v>
      </c>
      <c r="AQ47" s="1415">
        <v>-6.4799999999999996E-2</v>
      </c>
      <c r="AR47" s="1238">
        <f>SQRT(AS47^2+AT47^2)*1000/(1.73*AS14)</f>
        <v>3.5355335564335899</v>
      </c>
      <c r="AS47" s="1254">
        <v>-1.1999999999999999E-3</v>
      </c>
      <c r="AT47" s="1415">
        <v>-6.3600000000000004E-2</v>
      </c>
      <c r="AU47" s="1238">
        <f>SQRT(AV47^2+AW47^2)*1000/(1.73*AV14)</f>
        <v>3.6022182169117225</v>
      </c>
      <c r="AV47" s="1254">
        <v>-1.1999999999999999E-3</v>
      </c>
      <c r="AW47" s="1415">
        <v>-6.4799999999999996E-2</v>
      </c>
      <c r="AX47" s="1238">
        <f>SQRT(AY47^2+AZ47^2)*1000/(1.73*AY14)</f>
        <v>3.6022182169117225</v>
      </c>
      <c r="AY47" s="1254">
        <v>-1.1999999999999999E-3</v>
      </c>
      <c r="AZ47" s="1415">
        <v>-6.4799999999999996E-2</v>
      </c>
      <c r="BA47" s="1238">
        <f>SQRT(BB47^2+BC47^2)*1000/(1.73*BB14)</f>
        <v>3.6040700985610385</v>
      </c>
      <c r="BB47" s="1254">
        <v>-2.3999999999999998E-3</v>
      </c>
      <c r="BC47" s="1415">
        <v>-6.4799999999999996E-2</v>
      </c>
      <c r="BD47" s="1238">
        <f>SQRT(BE47^2+BF47^2)*1000/(1.73*BE14)</f>
        <v>3.6022182169117225</v>
      </c>
      <c r="BE47" s="1254">
        <v>-1.1999999999999999E-3</v>
      </c>
      <c r="BF47" s="1415">
        <v>-6.4799999999999996E-2</v>
      </c>
      <c r="BG47" s="1238">
        <f>SQRT(BH47^2+BI47^2)*1000/(1.73*BH14)</f>
        <v>3.6022182169117225</v>
      </c>
      <c r="BH47" s="1254">
        <v>-1.1999999999999999E-3</v>
      </c>
      <c r="BI47" s="1415">
        <v>-6.4799999999999996E-2</v>
      </c>
      <c r="BJ47" s="1238">
        <f>SQRT(BK47^2+BL47^2)*1000/(1.73*BK14)</f>
        <v>3.6022182169117225</v>
      </c>
      <c r="BK47" s="1254">
        <v>-1.1999999999999999E-3</v>
      </c>
      <c r="BL47" s="1415">
        <v>-6.4799999999999996E-2</v>
      </c>
      <c r="BM47" s="1238">
        <f>SQRT(BN47^2+BO47^2)*1000/(1.73*BN14)</f>
        <v>3.6022182169117225</v>
      </c>
      <c r="BN47" s="1254">
        <v>-1.1999999999999999E-3</v>
      </c>
      <c r="BO47" s="1415">
        <v>-6.4799999999999996E-2</v>
      </c>
      <c r="BP47" s="1238">
        <f>SQRT(BQ47^2+BR47^2)*1000/(1.73*BQ14)</f>
        <v>3.6022182169117225</v>
      </c>
      <c r="BQ47" s="1254">
        <v>-1.1999999999999999E-3</v>
      </c>
      <c r="BR47" s="1415">
        <v>-6.4799999999999996E-2</v>
      </c>
      <c r="BS47" s="1238">
        <f>SQRT(BT47^2+BU47^2)*1000/(1.73*BT14)</f>
        <v>3.6707215400134316</v>
      </c>
      <c r="BT47" s="1254">
        <v>-2.3999999999999998E-3</v>
      </c>
      <c r="BU47" s="1415">
        <v>-6.6000000000000003E-2</v>
      </c>
      <c r="BV47" s="1238">
        <f>SQRT(BW47^2+BX47^2)*1000/(1.73*BW14)</f>
        <v>3.6022182169117225</v>
      </c>
      <c r="BW47" s="1254">
        <v>-1.1999999999999999E-3</v>
      </c>
      <c r="BX47" s="1415">
        <v>-6.4799999999999996E-2</v>
      </c>
      <c r="BY47" s="1238">
        <f>SQRT(BZ47^2+CA47^2)*1000/(1.73*BZ14)</f>
        <v>3.6689033008826328</v>
      </c>
      <c r="BZ47" s="1254">
        <v>-1.1999999999999999E-3</v>
      </c>
      <c r="CA47" s="1415">
        <v>-6.6000000000000003E-2</v>
      </c>
    </row>
    <row r="48" spans="1:79" ht="13.5" thickBot="1" x14ac:dyDescent="0.25">
      <c r="A48" s="1133">
        <v>16</v>
      </c>
      <c r="B48" s="1477" t="s">
        <v>340</v>
      </c>
      <c r="C48" s="1233"/>
      <c r="D48" s="1419"/>
      <c r="E48" s="1235"/>
      <c r="F48" s="1236"/>
      <c r="G48" s="1237"/>
      <c r="H48" s="1484">
        <f>SQRT(I48^2+J48^2)*1000/(1.73*I22)</f>
        <v>3.6040700985610385</v>
      </c>
      <c r="I48" s="1275">
        <v>-2.3999999999999998E-3</v>
      </c>
      <c r="J48" s="1276">
        <v>-6.4799999999999996E-2</v>
      </c>
      <c r="K48" s="1485">
        <f>SQRT(L48^2+M48^2)*1000/(1.73*L22)</f>
        <v>3.6689033008826328</v>
      </c>
      <c r="L48" s="1275">
        <v>-1.1999999999999999E-3</v>
      </c>
      <c r="M48" s="1276">
        <v>-6.6000000000000003E-2</v>
      </c>
      <c r="N48" s="1485">
        <f>SQRT(O48^2+P48^2)*1000/(1.73*O22)</f>
        <v>3.6707215400134316</v>
      </c>
      <c r="O48" s="1275">
        <v>-2.3999999999999998E-3</v>
      </c>
      <c r="P48" s="1276">
        <v>-6.6000000000000003E-2</v>
      </c>
      <c r="Q48" s="1485">
        <f>SQRT(R48^2+S48^2)*1000/(1.73*R22)</f>
        <v>3.7373745823357671</v>
      </c>
      <c r="R48" s="1275">
        <v>-2.3999999999999998E-3</v>
      </c>
      <c r="S48" s="1276">
        <v>-6.7199999999999996E-2</v>
      </c>
      <c r="T48" s="1485">
        <f>SQRT(U48^2+V48^2)*1000/(1.73*U22)</f>
        <v>3.6689033008826328</v>
      </c>
      <c r="U48" s="1275">
        <v>-1.1999999999999999E-3</v>
      </c>
      <c r="V48" s="1276">
        <v>-6.6000000000000003E-2</v>
      </c>
      <c r="W48" s="1485">
        <f>SQRT(X48^2+Y48^2)*1000/(1.73*X22)</f>
        <v>3.6707215400134316</v>
      </c>
      <c r="X48" s="1275">
        <v>-2.3999999999999998E-3</v>
      </c>
      <c r="Y48" s="1276">
        <v>-6.6000000000000003E-2</v>
      </c>
      <c r="Z48" s="1485">
        <f>SQRT(AA48^2+AB48^2)*1000/(1.73*AA22)</f>
        <v>3.6040700985610385</v>
      </c>
      <c r="AA48" s="1275">
        <v>-2.3999999999999998E-3</v>
      </c>
      <c r="AB48" s="1276">
        <v>-6.4799999999999996E-2</v>
      </c>
      <c r="AC48" s="1485">
        <f>SQRT(AD48^2+AE48^2)*1000/(1.73*AD22)</f>
        <v>3.6022182169117225</v>
      </c>
      <c r="AD48" s="1275">
        <v>-1.1999999999999999E-3</v>
      </c>
      <c r="AE48" s="1276">
        <v>-6.4799999999999996E-2</v>
      </c>
      <c r="AF48" s="1485">
        <f>SQRT(AG48^2+AH48^2)*1000/(1.73*AG22)</f>
        <v>3.5374203484685061</v>
      </c>
      <c r="AG48" s="1275">
        <v>-2.3999999999999998E-3</v>
      </c>
      <c r="AH48" s="1276">
        <v>-6.3600000000000004E-2</v>
      </c>
      <c r="AI48" s="1485">
        <f>SQRT(AJ48^2+AK48^2)*1000/(1.73*AJ22)</f>
        <v>3.5374203484685061</v>
      </c>
      <c r="AJ48" s="1275">
        <v>-2.3999999999999998E-3</v>
      </c>
      <c r="AK48" s="1276">
        <v>-6.3600000000000004E-2</v>
      </c>
      <c r="AL48" s="1485">
        <f>SQRT(AM48^2+AN48^2)*1000/(1.73*AM22)</f>
        <v>3.5355335564335899</v>
      </c>
      <c r="AM48" s="1275">
        <v>-1.1999999999999999E-3</v>
      </c>
      <c r="AN48" s="1276">
        <v>-6.3600000000000004E-2</v>
      </c>
      <c r="AO48" s="1485">
        <f>SQRT(AP48^2+AQ48^2)*1000/(1.73*AP22)</f>
        <v>3.5374203484685061</v>
      </c>
      <c r="AP48" s="1275">
        <v>-2.3999999999999998E-3</v>
      </c>
      <c r="AQ48" s="1276">
        <v>-6.3600000000000004E-2</v>
      </c>
      <c r="AR48" s="1485">
        <f>SQRT(AS48^2+AT48^2)*1000/(1.73*AS22)</f>
        <v>3.5374203484685061</v>
      </c>
      <c r="AS48" s="1275">
        <v>-2.3999999999999998E-3</v>
      </c>
      <c r="AT48" s="1276">
        <v>-6.3600000000000004E-2</v>
      </c>
      <c r="AU48" s="1485">
        <f>SQRT(AV48^2+AW48^2)*1000/(1.73*AV22)</f>
        <v>3.5355335564335899</v>
      </c>
      <c r="AV48" s="1275">
        <v>-1.1999999999999999E-3</v>
      </c>
      <c r="AW48" s="1276">
        <v>-6.3600000000000004E-2</v>
      </c>
      <c r="AX48" s="1485">
        <f>SQRT(AY48^2+AZ48^2)*1000/(1.73*AY22)</f>
        <v>3.5374203484685061</v>
      </c>
      <c r="AY48" s="1275">
        <v>-2.3999999999999998E-3</v>
      </c>
      <c r="AZ48" s="1276">
        <v>-6.3600000000000004E-2</v>
      </c>
      <c r="BA48" s="1485">
        <f>SQRT(BB48^2+BC48^2)*1000/(1.73*BB22)</f>
        <v>3.5374203484685061</v>
      </c>
      <c r="BB48" s="1275">
        <v>-2.3999999999999998E-3</v>
      </c>
      <c r="BC48" s="1276">
        <v>-6.3600000000000004E-2</v>
      </c>
      <c r="BD48" s="1485">
        <f>SQRT(BE48^2+BF48^2)*1000/(1.73*BE22)</f>
        <v>3.5374203484685061</v>
      </c>
      <c r="BE48" s="1275">
        <v>-2.3999999999999998E-3</v>
      </c>
      <c r="BF48" s="1276">
        <v>-6.3600000000000004E-2</v>
      </c>
      <c r="BG48" s="1485">
        <f>SQRT(BH48^2+BI48^2)*1000/(1.73*BH22)</f>
        <v>3.5355335564335899</v>
      </c>
      <c r="BH48" s="1275">
        <v>-1.1999999999999999E-3</v>
      </c>
      <c r="BI48" s="1276">
        <v>-6.3600000000000004E-2</v>
      </c>
      <c r="BJ48" s="1485">
        <f>SQRT(BK48^2+BL48^2)*1000/(1.73*BK22)</f>
        <v>3.5374203484685061</v>
      </c>
      <c r="BK48" s="1275">
        <v>-2.3999999999999998E-3</v>
      </c>
      <c r="BL48" s="1276">
        <v>-6.3600000000000004E-2</v>
      </c>
      <c r="BM48" s="1485">
        <f>SQRT(BN48^2+BO48^2)*1000/(1.73*BN22)</f>
        <v>3.5374203484685061</v>
      </c>
      <c r="BN48" s="1275">
        <v>-2.3999999999999998E-3</v>
      </c>
      <c r="BO48" s="1276">
        <v>-6.3600000000000004E-2</v>
      </c>
      <c r="BP48" s="1485">
        <f>SQRT(BQ48^2+BR48^2)*1000/(1.73*BQ22)</f>
        <v>3.6040700985610385</v>
      </c>
      <c r="BQ48" s="1275">
        <v>-2.3999999999999998E-3</v>
      </c>
      <c r="BR48" s="1276">
        <v>-6.4799999999999996E-2</v>
      </c>
      <c r="BS48" s="1485">
        <f>SQRT(BT48^2+BU48^2)*1000/(1.73*BT22)</f>
        <v>3.5355335564335899</v>
      </c>
      <c r="BT48" s="1275">
        <v>-1.1999999999999999E-3</v>
      </c>
      <c r="BU48" s="1276">
        <v>-6.3600000000000004E-2</v>
      </c>
      <c r="BV48" s="1485">
        <f>SQRT(BW48^2+BX48^2)*1000/(1.73*BW22)</f>
        <v>3.6040700985610385</v>
      </c>
      <c r="BW48" s="1275">
        <v>-2.3999999999999998E-3</v>
      </c>
      <c r="BX48" s="1276">
        <v>-6.4799999999999996E-2</v>
      </c>
      <c r="BY48" s="1485">
        <f>SQRT(BZ48^2+CA48^2)*1000/(1.73*BZ22)</f>
        <v>3.6040700985610385</v>
      </c>
      <c r="BZ48" s="1275">
        <v>-2.3999999999999998E-3</v>
      </c>
      <c r="CA48" s="1276">
        <v>-6.4799999999999996E-2</v>
      </c>
    </row>
    <row r="49" spans="1:81" x14ac:dyDescent="0.2">
      <c r="A49" s="1256" t="s">
        <v>102</v>
      </c>
      <c r="B49" s="1257"/>
      <c r="C49" s="1258"/>
      <c r="D49" s="1259"/>
      <c r="E49" s="1260"/>
      <c r="F49" s="1259"/>
      <c r="G49" s="1261"/>
      <c r="H49" s="1478">
        <f t="shared" ref="H49:BS49" si="4">H37+H43+H47+H45+H35+H33+H41+H39</f>
        <v>362.71772185990744</v>
      </c>
      <c r="I49" s="1263">
        <f t="shared" si="4"/>
        <v>6.4024000000000001</v>
      </c>
      <c r="J49" s="1264">
        <f t="shared" si="4"/>
        <v>-1.9999999999999997E-2</v>
      </c>
      <c r="K49" s="1478">
        <f t="shared" si="4"/>
        <v>343.24716643012505</v>
      </c>
      <c r="L49" s="1263">
        <f t="shared" si="4"/>
        <v>6.0483999999999991</v>
      </c>
      <c r="M49" s="1264">
        <f t="shared" si="4"/>
        <v>-1.3599999999999994E-2</v>
      </c>
      <c r="N49" s="1478">
        <f t="shared" si="4"/>
        <v>334.2359317539898</v>
      </c>
      <c r="O49" s="1263">
        <f t="shared" si="4"/>
        <v>5.8827999999999996</v>
      </c>
      <c r="P49" s="1264">
        <f t="shared" si="4"/>
        <v>1.2000000000000136E-3</v>
      </c>
      <c r="Q49" s="1478">
        <f t="shared" si="4"/>
        <v>325.93543355431518</v>
      </c>
      <c r="R49" s="1263">
        <f t="shared" si="4"/>
        <v>5.7352000000000007</v>
      </c>
      <c r="S49" s="1264">
        <f t="shared" si="4"/>
        <v>-4.0800000000000003E-2</v>
      </c>
      <c r="T49" s="1478">
        <f t="shared" si="4"/>
        <v>326.80106865621383</v>
      </c>
      <c r="U49" s="1263">
        <f t="shared" si="4"/>
        <v>5.7471999999999994</v>
      </c>
      <c r="V49" s="1264">
        <f t="shared" si="4"/>
        <v>-2.799999999999999E-2</v>
      </c>
      <c r="W49" s="1478">
        <f t="shared" si="4"/>
        <v>340.50311769346172</v>
      </c>
      <c r="X49" s="1263">
        <f t="shared" si="4"/>
        <v>5.9968000000000004</v>
      </c>
      <c r="Y49" s="1264">
        <f t="shared" si="4"/>
        <v>-2.7200000000000005E-2</v>
      </c>
      <c r="Z49" s="1478">
        <f t="shared" si="4"/>
        <v>384.54488162550473</v>
      </c>
      <c r="AA49" s="1263">
        <f t="shared" si="4"/>
        <v>6.7935999999999996</v>
      </c>
      <c r="AB49" s="1264">
        <f t="shared" si="4"/>
        <v>-7.7200000000000019E-2</v>
      </c>
      <c r="AC49" s="1478">
        <f t="shared" si="4"/>
        <v>434.55129400510026</v>
      </c>
      <c r="AD49" s="1263">
        <f t="shared" si="4"/>
        <v>7.692800000000001</v>
      </c>
      <c r="AE49" s="1264">
        <f t="shared" si="4"/>
        <v>-0.1148</v>
      </c>
      <c r="AF49" s="1478">
        <f t="shared" si="4"/>
        <v>450.82919421196834</v>
      </c>
      <c r="AG49" s="1263">
        <f t="shared" si="4"/>
        <v>7.9871999999999996</v>
      </c>
      <c r="AH49" s="1264">
        <f t="shared" si="4"/>
        <v>-0.11319999999999998</v>
      </c>
      <c r="AI49" s="1478">
        <f t="shared" si="4"/>
        <v>445.5890875417029</v>
      </c>
      <c r="AJ49" s="1263">
        <f t="shared" si="4"/>
        <v>7.8940000000000001</v>
      </c>
      <c r="AK49" s="1264">
        <f t="shared" si="4"/>
        <v>-5.4400000000000004E-2</v>
      </c>
      <c r="AL49" s="1478">
        <f t="shared" si="4"/>
        <v>447.43334693466409</v>
      </c>
      <c r="AM49" s="1263">
        <f t="shared" si="4"/>
        <v>7.9279999999999999</v>
      </c>
      <c r="AN49" s="1264">
        <f t="shared" si="4"/>
        <v>-8.7599999999999983E-2</v>
      </c>
      <c r="AO49" s="1478">
        <f t="shared" si="4"/>
        <v>450.22464630204678</v>
      </c>
      <c r="AP49" s="1263">
        <f t="shared" si="4"/>
        <v>7.9731999999999994</v>
      </c>
      <c r="AQ49" s="1264">
        <f t="shared" si="4"/>
        <v>7.6000000000000234E-3</v>
      </c>
      <c r="AR49" s="1478">
        <f t="shared" si="4"/>
        <v>454.94284958942211</v>
      </c>
      <c r="AS49" s="1263">
        <f t="shared" si="4"/>
        <v>8.0704000000000011</v>
      </c>
      <c r="AT49" s="1264">
        <f t="shared" si="4"/>
        <v>-4.1200000000000001E-2</v>
      </c>
      <c r="AU49" s="1478">
        <f t="shared" si="4"/>
        <v>451.01368675634484</v>
      </c>
      <c r="AV49" s="1263">
        <f t="shared" si="4"/>
        <v>7.9976000000000012</v>
      </c>
      <c r="AW49" s="1264">
        <f t="shared" si="4"/>
        <v>-8.3999999999999991E-2</v>
      </c>
      <c r="AX49" s="1478">
        <f t="shared" si="4"/>
        <v>445.33518446535822</v>
      </c>
      <c r="AY49" s="1263">
        <f t="shared" si="4"/>
        <v>7.8944000000000001</v>
      </c>
      <c r="AZ49" s="1264">
        <f t="shared" si="4"/>
        <v>-7.1200000000000013E-2</v>
      </c>
      <c r="BA49" s="1478">
        <f t="shared" si="4"/>
        <v>463.66642661435753</v>
      </c>
      <c r="BB49" s="1263">
        <f t="shared" si="4"/>
        <v>8.2187999999999999</v>
      </c>
      <c r="BC49" s="1264">
        <f t="shared" si="4"/>
        <v>-0.11159999999999998</v>
      </c>
      <c r="BD49" s="1478">
        <f t="shared" si="4"/>
        <v>475.41115452544278</v>
      </c>
      <c r="BE49" s="1263">
        <f t="shared" si="4"/>
        <v>8.4307999999999996</v>
      </c>
      <c r="BF49" s="1264">
        <f t="shared" si="4"/>
        <v>-0.13399999999999998</v>
      </c>
      <c r="BG49" s="1478">
        <f t="shared" si="4"/>
        <v>477.73317337061081</v>
      </c>
      <c r="BH49" s="1263">
        <f t="shared" si="4"/>
        <v>8.4700000000000006</v>
      </c>
      <c r="BI49" s="1264">
        <f t="shared" si="4"/>
        <v>-0.14239999999999997</v>
      </c>
      <c r="BJ49" s="1478">
        <f t="shared" si="4"/>
        <v>488.29786960237345</v>
      </c>
      <c r="BK49" s="1263">
        <f t="shared" si="4"/>
        <v>8.6587999999999994</v>
      </c>
      <c r="BL49" s="1264">
        <f t="shared" si="4"/>
        <v>-0.1192</v>
      </c>
      <c r="BM49" s="1478">
        <f t="shared" si="4"/>
        <v>492.2928310756779</v>
      </c>
      <c r="BN49" s="1263">
        <f t="shared" si="4"/>
        <v>8.7344000000000008</v>
      </c>
      <c r="BO49" s="1264">
        <f t="shared" si="4"/>
        <v>-6.7199999999999968E-2</v>
      </c>
      <c r="BP49" s="1478">
        <f t="shared" si="4"/>
        <v>483.20457423618575</v>
      </c>
      <c r="BQ49" s="1263">
        <f t="shared" si="4"/>
        <v>8.5687999999999995</v>
      </c>
      <c r="BR49" s="1264">
        <f t="shared" si="4"/>
        <v>-9.9999999999999881E-3</v>
      </c>
      <c r="BS49" s="1478">
        <f t="shared" si="4"/>
        <v>465.55276079199348</v>
      </c>
      <c r="BT49" s="1263">
        <f t="shared" ref="BT49:CA49" si="5">BT37+BT43+BT47+BT45+BT35+BT33+BT41+BT39</f>
        <v>8.2484000000000002</v>
      </c>
      <c r="BU49" s="1264">
        <f t="shared" si="5"/>
        <v>-5.3199999999999997E-2</v>
      </c>
      <c r="BV49" s="1478">
        <f t="shared" si="5"/>
        <v>435.26058312132506</v>
      </c>
      <c r="BW49" s="1263">
        <f t="shared" si="5"/>
        <v>7.7047999999999996</v>
      </c>
      <c r="BX49" s="1264">
        <f t="shared" si="5"/>
        <v>-6.5199999999999966E-2</v>
      </c>
      <c r="BY49" s="1478">
        <f t="shared" si="5"/>
        <v>399.52285846868784</v>
      </c>
      <c r="BZ49" s="1263">
        <f t="shared" si="5"/>
        <v>7.0591999999999988</v>
      </c>
      <c r="CA49" s="1264">
        <f t="shared" si="5"/>
        <v>-8.4000000000000186E-3</v>
      </c>
      <c r="CB49" s="1230">
        <f t="shared" ref="CB49:CC51" si="6">SUM(I49,L49,O49,R49,U49,X49,AA49,AD49,AG49,AJ49,AM49,AP49,AS49,AV49,AY49,BB49,BE49,BH49,BK49,BN49,BQ49,BT49,BW49,BZ49)</f>
        <v>180.13800000000003</v>
      </c>
      <c r="CC49" s="1230">
        <f t="shared" si="6"/>
        <v>-1.4755999999999994</v>
      </c>
    </row>
    <row r="50" spans="1:81" ht="13.5" thickBot="1" x14ac:dyDescent="0.25">
      <c r="A50" s="1267" t="s">
        <v>103</v>
      </c>
      <c r="B50" s="1268"/>
      <c r="C50" s="1269"/>
      <c r="D50" s="1270"/>
      <c r="E50" s="1271"/>
      <c r="F50" s="1272"/>
      <c r="G50" s="1273"/>
      <c r="H50" s="1484">
        <f t="shared" ref="H50:BS50" si="7">H42+H40+H38+H36+H34+H46+H48+H44</f>
        <v>317.59689386129463</v>
      </c>
      <c r="I50" s="1275">
        <f t="shared" si="7"/>
        <v>5.5651999999999999</v>
      </c>
      <c r="J50" s="1276">
        <f t="shared" si="7"/>
        <v>0.1384</v>
      </c>
      <c r="K50" s="1484">
        <f t="shared" si="7"/>
        <v>296.99445870014318</v>
      </c>
      <c r="L50" s="1275">
        <f t="shared" si="7"/>
        <v>5.1880000000000006</v>
      </c>
      <c r="M50" s="1276">
        <f t="shared" si="7"/>
        <v>0.14599999999999999</v>
      </c>
      <c r="N50" s="1484">
        <f t="shared" si="7"/>
        <v>284.692739684157</v>
      </c>
      <c r="O50" s="1275">
        <f t="shared" si="7"/>
        <v>4.9695999999999998</v>
      </c>
      <c r="P50" s="1276">
        <f t="shared" si="7"/>
        <v>0.13760000000000003</v>
      </c>
      <c r="Q50" s="1484">
        <f t="shared" si="7"/>
        <v>279.62420378021801</v>
      </c>
      <c r="R50" s="1275">
        <f t="shared" si="7"/>
        <v>4.8756000000000004</v>
      </c>
      <c r="S50" s="1276">
        <f t="shared" si="7"/>
        <v>0.14760000000000001</v>
      </c>
      <c r="T50" s="1484">
        <f t="shared" si="7"/>
        <v>279.61491692741106</v>
      </c>
      <c r="U50" s="1275">
        <f t="shared" si="7"/>
        <v>4.8812000000000006</v>
      </c>
      <c r="V50" s="1276">
        <f t="shared" si="7"/>
        <v>0.12120000000000003</v>
      </c>
      <c r="W50" s="1484">
        <f t="shared" si="7"/>
        <v>288.36033449944216</v>
      </c>
      <c r="X50" s="1275">
        <f t="shared" si="7"/>
        <v>5.0376000000000003</v>
      </c>
      <c r="Y50" s="1276">
        <f t="shared" si="7"/>
        <v>0.12199999999999997</v>
      </c>
      <c r="Z50" s="1484">
        <f t="shared" si="7"/>
        <v>329.7250920578108</v>
      </c>
      <c r="AA50" s="1275">
        <f t="shared" si="7"/>
        <v>5.7964000000000002</v>
      </c>
      <c r="AB50" s="1276">
        <f t="shared" si="7"/>
        <v>6.6400000000000001E-2</v>
      </c>
      <c r="AC50" s="1484">
        <f t="shared" si="7"/>
        <v>369.64455608658608</v>
      </c>
      <c r="AD50" s="1275">
        <f t="shared" si="7"/>
        <v>6.516</v>
      </c>
      <c r="AE50" s="1276">
        <f t="shared" si="7"/>
        <v>8.3999999999999943E-3</v>
      </c>
      <c r="AF50" s="1484">
        <f t="shared" si="7"/>
        <v>372.21085972981973</v>
      </c>
      <c r="AG50" s="1275">
        <f t="shared" si="7"/>
        <v>6.5591999999999997</v>
      </c>
      <c r="AH50" s="1276">
        <f t="shared" si="7"/>
        <v>6.0399999999999981E-2</v>
      </c>
      <c r="AI50" s="1484">
        <f t="shared" si="7"/>
        <v>369.77065729726928</v>
      </c>
      <c r="AJ50" s="1275">
        <f t="shared" si="7"/>
        <v>6.5208000000000004</v>
      </c>
      <c r="AK50" s="1276">
        <f t="shared" si="7"/>
        <v>0.13919999999999999</v>
      </c>
      <c r="AL50" s="1484">
        <f t="shared" si="7"/>
        <v>377.95250462032186</v>
      </c>
      <c r="AM50" s="1275">
        <f t="shared" si="7"/>
        <v>6.6708000000000007</v>
      </c>
      <c r="AN50" s="1276">
        <f t="shared" si="7"/>
        <v>0.17080000000000004</v>
      </c>
      <c r="AO50" s="1484">
        <f t="shared" si="7"/>
        <v>376.00843389874615</v>
      </c>
      <c r="AP50" s="1275">
        <f t="shared" si="7"/>
        <v>6.6351999999999993</v>
      </c>
      <c r="AQ50" s="1276">
        <f t="shared" si="7"/>
        <v>0.15000000000000002</v>
      </c>
      <c r="AR50" s="1484">
        <f t="shared" si="7"/>
        <v>378.72055704796691</v>
      </c>
      <c r="AS50" s="1275">
        <f t="shared" si="7"/>
        <v>6.6824000000000003</v>
      </c>
      <c r="AT50" s="1276">
        <f t="shared" si="7"/>
        <v>0.16200000000000001</v>
      </c>
      <c r="AU50" s="1484">
        <f t="shared" si="7"/>
        <v>374.15383023230129</v>
      </c>
      <c r="AV50" s="1275">
        <f t="shared" si="7"/>
        <v>6.6016000000000004</v>
      </c>
      <c r="AW50" s="1276">
        <f t="shared" si="7"/>
        <v>0.19440000000000002</v>
      </c>
      <c r="AX50" s="1484">
        <f t="shared" si="7"/>
        <v>373.55531776533508</v>
      </c>
      <c r="AY50" s="1275">
        <f t="shared" si="7"/>
        <v>6.5868000000000002</v>
      </c>
      <c r="AZ50" s="1276">
        <f t="shared" si="7"/>
        <v>0.17120000000000002</v>
      </c>
      <c r="BA50" s="1484">
        <f t="shared" si="7"/>
        <v>389.73158619496724</v>
      </c>
      <c r="BB50" s="1275">
        <f t="shared" si="7"/>
        <v>6.8820000000000006</v>
      </c>
      <c r="BC50" s="1276">
        <f t="shared" si="7"/>
        <v>0.14760000000000004</v>
      </c>
      <c r="BD50" s="1484">
        <f t="shared" si="7"/>
        <v>405.20719957288151</v>
      </c>
      <c r="BE50" s="1275">
        <f t="shared" si="7"/>
        <v>7.1608000000000009</v>
      </c>
      <c r="BF50" s="1276">
        <f t="shared" si="7"/>
        <v>9.5599999999999977E-2</v>
      </c>
      <c r="BG50" s="1484">
        <f t="shared" si="7"/>
        <v>409.92723026560043</v>
      </c>
      <c r="BH50" s="1275">
        <f t="shared" si="7"/>
        <v>7.2512000000000008</v>
      </c>
      <c r="BI50" s="1276">
        <f t="shared" si="7"/>
        <v>3.1599999999999982E-2</v>
      </c>
      <c r="BJ50" s="1484">
        <f t="shared" si="7"/>
        <v>415.21956492419196</v>
      </c>
      <c r="BK50" s="1275">
        <f t="shared" si="7"/>
        <v>7.3432000000000004</v>
      </c>
      <c r="BL50" s="1276">
        <f t="shared" si="7"/>
        <v>5.5600000000000017E-2</v>
      </c>
      <c r="BM50" s="1484">
        <f t="shared" si="7"/>
        <v>413.35497577276698</v>
      </c>
      <c r="BN50" s="1275">
        <f t="shared" si="7"/>
        <v>7.3127999999999993</v>
      </c>
      <c r="BO50" s="1276">
        <f t="shared" si="7"/>
        <v>2.799999999999999E-2</v>
      </c>
      <c r="BP50" s="1484">
        <f t="shared" si="7"/>
        <v>408.89956238818911</v>
      </c>
      <c r="BQ50" s="1275">
        <f t="shared" si="7"/>
        <v>7.2268000000000008</v>
      </c>
      <c r="BR50" s="1276">
        <f t="shared" si="7"/>
        <v>9.2000000000000033E-3</v>
      </c>
      <c r="BS50" s="1484">
        <f t="shared" si="7"/>
        <v>396.13133508505103</v>
      </c>
      <c r="BT50" s="1275">
        <f t="shared" ref="BT50:CA50" si="8">BT42+BT40+BT38+BT36+BT34+BT46+BT48+BT44</f>
        <v>7.0036000000000005</v>
      </c>
      <c r="BU50" s="1276">
        <f t="shared" si="8"/>
        <v>-2.6399999999999979E-2</v>
      </c>
      <c r="BV50" s="1484">
        <f t="shared" si="8"/>
        <v>375.48699264727009</v>
      </c>
      <c r="BW50" s="1275">
        <f t="shared" si="8"/>
        <v>6.6227999999999998</v>
      </c>
      <c r="BX50" s="1276">
        <f t="shared" si="8"/>
        <v>4.3199999999999988E-2</v>
      </c>
      <c r="BY50" s="1484">
        <f t="shared" si="8"/>
        <v>346.27405131421415</v>
      </c>
      <c r="BZ50" s="1275">
        <f t="shared" si="8"/>
        <v>6.0991999999999997</v>
      </c>
      <c r="CA50" s="1276">
        <f t="shared" si="8"/>
        <v>8.5600000000000023E-2</v>
      </c>
      <c r="CB50" s="1230">
        <f t="shared" si="6"/>
        <v>151.9888</v>
      </c>
      <c r="CC50" s="1230">
        <f t="shared" si="6"/>
        <v>2.4056000000000006</v>
      </c>
    </row>
    <row r="51" spans="1:81" ht="13.5" thickBot="1" x14ac:dyDescent="0.25">
      <c r="A51" s="1277" t="s">
        <v>104</v>
      </c>
      <c r="B51" s="1166"/>
      <c r="C51" s="1278"/>
      <c r="D51" s="1279"/>
      <c r="E51" s="1280"/>
      <c r="F51" s="1279"/>
      <c r="G51" s="1280"/>
      <c r="H51" s="1486">
        <f t="shared" ref="H51:BS51" si="9">H49+H50</f>
        <v>680.31461572120202</v>
      </c>
      <c r="I51" s="1283">
        <f t="shared" si="9"/>
        <v>11.967600000000001</v>
      </c>
      <c r="J51" s="1284">
        <f t="shared" si="9"/>
        <v>0.11840000000000001</v>
      </c>
      <c r="K51" s="1486">
        <f t="shared" si="9"/>
        <v>640.24162513026818</v>
      </c>
      <c r="L51" s="1283">
        <f t="shared" si="9"/>
        <v>11.2364</v>
      </c>
      <c r="M51" s="1284">
        <f t="shared" si="9"/>
        <v>0.13239999999999999</v>
      </c>
      <c r="N51" s="1486">
        <f t="shared" si="9"/>
        <v>618.92867143814681</v>
      </c>
      <c r="O51" s="1283">
        <f t="shared" si="9"/>
        <v>10.852399999999999</v>
      </c>
      <c r="P51" s="1284">
        <f t="shared" si="9"/>
        <v>0.13880000000000003</v>
      </c>
      <c r="Q51" s="1486">
        <f t="shared" si="9"/>
        <v>605.55963733453314</v>
      </c>
      <c r="R51" s="1283">
        <f t="shared" si="9"/>
        <v>10.610800000000001</v>
      </c>
      <c r="S51" s="1284">
        <f t="shared" si="9"/>
        <v>0.10680000000000001</v>
      </c>
      <c r="T51" s="1486">
        <f t="shared" si="9"/>
        <v>606.41598558362489</v>
      </c>
      <c r="U51" s="1283">
        <f t="shared" si="9"/>
        <v>10.628399999999999</v>
      </c>
      <c r="V51" s="1284">
        <f t="shared" si="9"/>
        <v>9.3200000000000033E-2</v>
      </c>
      <c r="W51" s="1486">
        <f t="shared" si="9"/>
        <v>628.86345219290388</v>
      </c>
      <c r="X51" s="1283">
        <f t="shared" si="9"/>
        <v>11.034400000000002</v>
      </c>
      <c r="Y51" s="1284">
        <f t="shared" si="9"/>
        <v>9.4799999999999968E-2</v>
      </c>
      <c r="Z51" s="1486">
        <f t="shared" si="9"/>
        <v>714.26997368331558</v>
      </c>
      <c r="AA51" s="1283">
        <f t="shared" si="9"/>
        <v>12.59</v>
      </c>
      <c r="AB51" s="1284">
        <f t="shared" si="9"/>
        <v>-1.0800000000000018E-2</v>
      </c>
      <c r="AC51" s="1486">
        <f t="shared" si="9"/>
        <v>804.19585009168634</v>
      </c>
      <c r="AD51" s="1283">
        <f t="shared" si="9"/>
        <v>14.2088</v>
      </c>
      <c r="AE51" s="1284">
        <f t="shared" si="9"/>
        <v>-0.10640000000000001</v>
      </c>
      <c r="AF51" s="1486">
        <f t="shared" si="9"/>
        <v>823.04005394178807</v>
      </c>
      <c r="AG51" s="1283">
        <f t="shared" si="9"/>
        <v>14.546399999999998</v>
      </c>
      <c r="AH51" s="1284">
        <f t="shared" si="9"/>
        <v>-5.28E-2</v>
      </c>
      <c r="AI51" s="1486">
        <f t="shared" si="9"/>
        <v>815.35974483897212</v>
      </c>
      <c r="AJ51" s="1283">
        <f t="shared" si="9"/>
        <v>14.4148</v>
      </c>
      <c r="AK51" s="1284">
        <f t="shared" si="9"/>
        <v>8.4799999999999986E-2</v>
      </c>
      <c r="AL51" s="1486">
        <f t="shared" si="9"/>
        <v>825.38585155498595</v>
      </c>
      <c r="AM51" s="1283">
        <f t="shared" si="9"/>
        <v>14.598800000000001</v>
      </c>
      <c r="AN51" s="1284">
        <f t="shared" si="9"/>
        <v>8.3200000000000052E-2</v>
      </c>
      <c r="AO51" s="1486">
        <f t="shared" si="9"/>
        <v>826.23308020079298</v>
      </c>
      <c r="AP51" s="1283">
        <f t="shared" si="9"/>
        <v>14.6084</v>
      </c>
      <c r="AQ51" s="1284">
        <f t="shared" si="9"/>
        <v>0.15760000000000005</v>
      </c>
      <c r="AR51" s="1486">
        <f t="shared" si="9"/>
        <v>833.66340663738902</v>
      </c>
      <c r="AS51" s="1283">
        <f t="shared" si="9"/>
        <v>14.752800000000001</v>
      </c>
      <c r="AT51" s="1284">
        <f t="shared" si="9"/>
        <v>0.1208</v>
      </c>
      <c r="AU51" s="1486">
        <f t="shared" si="9"/>
        <v>825.16751698864618</v>
      </c>
      <c r="AV51" s="1283">
        <f t="shared" si="9"/>
        <v>14.599200000000002</v>
      </c>
      <c r="AW51" s="1284">
        <f t="shared" si="9"/>
        <v>0.11040000000000003</v>
      </c>
      <c r="AX51" s="1486">
        <f t="shared" si="9"/>
        <v>818.8905022306933</v>
      </c>
      <c r="AY51" s="1283">
        <f t="shared" si="9"/>
        <v>14.481200000000001</v>
      </c>
      <c r="AZ51" s="1284">
        <f t="shared" si="9"/>
        <v>0.1</v>
      </c>
      <c r="BA51" s="1486">
        <f t="shared" si="9"/>
        <v>853.39801280932477</v>
      </c>
      <c r="BB51" s="1283">
        <f t="shared" si="9"/>
        <v>15.1008</v>
      </c>
      <c r="BC51" s="1284">
        <f t="shared" si="9"/>
        <v>3.600000000000006E-2</v>
      </c>
      <c r="BD51" s="1486">
        <f t="shared" si="9"/>
        <v>880.61835409832429</v>
      </c>
      <c r="BE51" s="1283">
        <f t="shared" si="9"/>
        <v>15.5916</v>
      </c>
      <c r="BF51" s="1284">
        <f t="shared" si="9"/>
        <v>-3.8400000000000004E-2</v>
      </c>
      <c r="BG51" s="1486">
        <f t="shared" si="9"/>
        <v>887.66040363621119</v>
      </c>
      <c r="BH51" s="1283">
        <f t="shared" si="9"/>
        <v>15.721200000000001</v>
      </c>
      <c r="BI51" s="1284">
        <f t="shared" si="9"/>
        <v>-0.11079999999999998</v>
      </c>
      <c r="BJ51" s="1486">
        <f t="shared" si="9"/>
        <v>903.51743452656547</v>
      </c>
      <c r="BK51" s="1283">
        <f t="shared" si="9"/>
        <v>16.001999999999999</v>
      </c>
      <c r="BL51" s="1284">
        <f t="shared" si="9"/>
        <v>-6.359999999999999E-2</v>
      </c>
      <c r="BM51" s="1486">
        <f t="shared" si="9"/>
        <v>905.64780684844482</v>
      </c>
      <c r="BN51" s="1283">
        <f t="shared" si="9"/>
        <v>16.0472</v>
      </c>
      <c r="BO51" s="1284">
        <f t="shared" si="9"/>
        <v>-3.9199999999999978E-2</v>
      </c>
      <c r="BP51" s="1486">
        <f t="shared" si="9"/>
        <v>892.10413662437486</v>
      </c>
      <c r="BQ51" s="1283">
        <f t="shared" si="9"/>
        <v>15.7956</v>
      </c>
      <c r="BR51" s="1284">
        <f t="shared" si="9"/>
        <v>-7.9999999999998475E-4</v>
      </c>
      <c r="BS51" s="1486">
        <f t="shared" si="9"/>
        <v>861.68409587704446</v>
      </c>
      <c r="BT51" s="1283">
        <f t="shared" ref="BT51:CA51" si="10">BT49+BT50</f>
        <v>15.252000000000001</v>
      </c>
      <c r="BU51" s="1284">
        <f t="shared" si="10"/>
        <v>-7.9599999999999976E-2</v>
      </c>
      <c r="BV51" s="1486">
        <f t="shared" si="10"/>
        <v>810.7475757685952</v>
      </c>
      <c r="BW51" s="1283">
        <f t="shared" si="10"/>
        <v>14.3276</v>
      </c>
      <c r="BX51" s="1284">
        <f t="shared" si="10"/>
        <v>-2.1999999999999978E-2</v>
      </c>
      <c r="BY51" s="1486">
        <f t="shared" si="10"/>
        <v>745.79690978290205</v>
      </c>
      <c r="BZ51" s="1283">
        <f t="shared" si="10"/>
        <v>13.158399999999999</v>
      </c>
      <c r="CA51" s="1284">
        <f t="shared" si="10"/>
        <v>7.7200000000000005E-2</v>
      </c>
      <c r="CB51" s="1383">
        <f t="shared" si="6"/>
        <v>332.12679999999995</v>
      </c>
      <c r="CC51" s="1383">
        <f t="shared" si="6"/>
        <v>0.93000000000000027</v>
      </c>
    </row>
    <row r="52" spans="1:81" x14ac:dyDescent="0.2">
      <c r="A52" s="1285"/>
      <c r="B52" s="1151"/>
      <c r="C52" s="1286"/>
      <c r="D52" s="1287"/>
      <c r="E52" s="1288"/>
      <c r="F52" s="1287"/>
      <c r="G52" s="1288"/>
      <c r="H52" s="1289"/>
      <c r="I52" s="1287"/>
      <c r="J52" s="1287"/>
      <c r="K52" s="1289"/>
      <c r="L52" s="1287"/>
      <c r="M52" s="1287"/>
      <c r="N52" s="1289"/>
      <c r="O52" s="1287"/>
      <c r="P52" s="1287"/>
      <c r="Q52" s="1289"/>
      <c r="R52" s="1287"/>
      <c r="S52" s="1287"/>
      <c r="T52" s="1289"/>
      <c r="U52" s="1287"/>
      <c r="V52" s="1287"/>
      <c r="W52" s="1289"/>
      <c r="X52" s="1287"/>
      <c r="Y52" s="1287"/>
      <c r="Z52" s="1289"/>
      <c r="AA52" s="1287"/>
      <c r="AB52" s="1287"/>
      <c r="AC52" s="1289"/>
      <c r="AD52" s="1287"/>
      <c r="AE52" s="1287"/>
      <c r="AF52" s="1289"/>
      <c r="AG52" s="1287"/>
      <c r="AH52" s="1287"/>
      <c r="AI52" s="1289"/>
      <c r="AJ52" s="1287"/>
      <c r="AK52" s="1287"/>
      <c r="AL52" s="1289"/>
      <c r="AM52" s="1287"/>
      <c r="AN52" s="1287"/>
      <c r="AO52" s="1289"/>
      <c r="AP52" s="1287"/>
      <c r="AQ52" s="1287"/>
      <c r="AR52" s="1289"/>
      <c r="AS52" s="1287"/>
      <c r="AT52" s="1287"/>
      <c r="AU52" s="1289"/>
      <c r="AV52" s="1287"/>
      <c r="AW52" s="1287"/>
      <c r="AX52" s="1289"/>
      <c r="AY52" s="1287"/>
      <c r="AZ52" s="1287"/>
      <c r="BA52" s="1289"/>
      <c r="BB52" s="1287"/>
      <c r="BC52" s="1287"/>
      <c r="BD52" s="1289"/>
      <c r="BE52" s="1287"/>
      <c r="BF52" s="1287"/>
      <c r="BG52" s="1289"/>
      <c r="BH52" s="1287"/>
      <c r="BI52" s="1287"/>
      <c r="BJ52" s="1289"/>
      <c r="BK52" s="1287"/>
      <c r="BL52" s="1287"/>
      <c r="BM52" s="1289"/>
      <c r="BN52" s="1287"/>
      <c r="BO52" s="1287"/>
      <c r="BP52" s="1289"/>
      <c r="BQ52" s="1287"/>
      <c r="BR52" s="1287"/>
      <c r="BS52" s="1289"/>
      <c r="BT52" s="1287"/>
      <c r="BU52" s="1287"/>
      <c r="BV52" s="1289"/>
      <c r="BW52" s="1287"/>
      <c r="BX52" s="1287"/>
      <c r="BY52" s="1289"/>
      <c r="BZ52" s="1287"/>
      <c r="CA52" s="1287"/>
    </row>
    <row r="53" spans="1:81" ht="13.5" thickBot="1" x14ac:dyDescent="0.25">
      <c r="A53" s="1195"/>
      <c r="B53" s="1079"/>
      <c r="C53" s="1079"/>
      <c r="D53" s="1079"/>
      <c r="E53" s="1290"/>
      <c r="F53" s="1079"/>
      <c r="G53" s="1291"/>
      <c r="H53" s="1292"/>
      <c r="I53" s="1293"/>
      <c r="J53" s="1214"/>
      <c r="K53" s="1294"/>
      <c r="L53" s="1295"/>
      <c r="M53" s="1295"/>
      <c r="N53" s="1294"/>
      <c r="O53" s="1295"/>
      <c r="P53" s="1295"/>
      <c r="Q53" s="1294"/>
      <c r="R53" s="1295"/>
      <c r="S53" s="1295"/>
      <c r="T53" s="1294"/>
      <c r="U53" s="1295"/>
      <c r="V53" s="1295"/>
      <c r="W53" s="1294"/>
      <c r="X53" s="1295"/>
      <c r="Y53" s="1295"/>
      <c r="Z53" s="1294"/>
      <c r="AA53" s="1295"/>
      <c r="AB53" s="1295"/>
      <c r="AC53" s="1294"/>
      <c r="AD53" s="1295"/>
      <c r="AE53" s="1295"/>
      <c r="AF53" s="1294"/>
      <c r="AG53" s="1295"/>
      <c r="AH53" s="1295"/>
      <c r="AI53" s="1294"/>
      <c r="AJ53" s="1295"/>
      <c r="AK53" s="1295"/>
      <c r="AL53" s="1294"/>
      <c r="AM53" s="1295"/>
      <c r="AN53" s="1295"/>
      <c r="AO53" s="1294"/>
      <c r="AP53" s="1295"/>
      <c r="AQ53" s="1295"/>
      <c r="AR53" s="1294"/>
      <c r="AS53" s="1295"/>
      <c r="AT53" s="1295"/>
      <c r="AU53" s="1294"/>
      <c r="AV53" s="1295"/>
      <c r="AW53" s="1295"/>
      <c r="AX53" s="1294"/>
      <c r="AY53" s="1295"/>
      <c r="AZ53" s="1295"/>
      <c r="BA53" s="1294"/>
      <c r="BB53" s="1295"/>
      <c r="BC53" s="1295"/>
      <c r="BD53" s="1294"/>
      <c r="BE53" s="1295"/>
      <c r="BF53" s="1295"/>
      <c r="BG53" s="1294"/>
      <c r="BH53" s="1295"/>
      <c r="BI53" s="1295"/>
      <c r="BJ53" s="1294"/>
      <c r="BK53" s="1295"/>
      <c r="BL53" s="1295"/>
      <c r="BM53" s="1294"/>
      <c r="BN53" s="1295"/>
      <c r="BO53" s="1295"/>
      <c r="BP53" s="1294"/>
      <c r="BQ53" s="1295"/>
      <c r="BR53" s="1295"/>
      <c r="BS53" s="1294"/>
      <c r="BT53" s="1295"/>
      <c r="BU53" s="1295"/>
      <c r="BV53" s="1294"/>
      <c r="BW53" s="1295"/>
      <c r="BX53" s="1295"/>
      <c r="BY53" s="1294"/>
      <c r="BZ53" s="1295"/>
      <c r="CA53" s="1295"/>
    </row>
    <row r="54" spans="1:81" x14ac:dyDescent="0.2">
      <c r="A54" s="1296"/>
      <c r="B54" s="1297" t="s">
        <v>22</v>
      </c>
      <c r="C54" s="1257"/>
      <c r="D54" s="1298" t="s">
        <v>45</v>
      </c>
      <c r="E54" s="1257"/>
      <c r="F54" s="1257"/>
      <c r="G54" s="1191"/>
      <c r="H54" s="1299">
        <f>$C$56/1000</f>
        <v>2.7300000000000001E-2</v>
      </c>
      <c r="I54" s="1300" t="s">
        <v>2</v>
      </c>
      <c r="J54" s="1301">
        <f>$G$56/1000</f>
        <v>0.13750000000000001</v>
      </c>
      <c r="K54" s="1299">
        <f>$C$56/1000</f>
        <v>2.7300000000000001E-2</v>
      </c>
      <c r="L54" s="1300" t="s">
        <v>2</v>
      </c>
      <c r="M54" s="1301">
        <f>$G$56/1000</f>
        <v>0.13750000000000001</v>
      </c>
      <c r="N54" s="1299">
        <f>$C$56/1000</f>
        <v>2.7300000000000001E-2</v>
      </c>
      <c r="O54" s="1300" t="s">
        <v>2</v>
      </c>
      <c r="P54" s="1301">
        <f>$G$56/1000</f>
        <v>0.13750000000000001</v>
      </c>
      <c r="Q54" s="1299">
        <f>$C$56/1000</f>
        <v>2.7300000000000001E-2</v>
      </c>
      <c r="R54" s="1300" t="s">
        <v>2</v>
      </c>
      <c r="S54" s="1301">
        <f>$G$56/1000</f>
        <v>0.13750000000000001</v>
      </c>
      <c r="T54" s="1299">
        <f>$C$56/1000</f>
        <v>2.7300000000000001E-2</v>
      </c>
      <c r="U54" s="1300" t="s">
        <v>2</v>
      </c>
      <c r="V54" s="1301">
        <f>$G$56/1000</f>
        <v>0.13750000000000001</v>
      </c>
      <c r="W54" s="1299">
        <f>$C$56/1000</f>
        <v>2.7300000000000001E-2</v>
      </c>
      <c r="X54" s="1300" t="s">
        <v>2</v>
      </c>
      <c r="Y54" s="1301">
        <f>$G$56/1000</f>
        <v>0.13750000000000001</v>
      </c>
      <c r="Z54" s="1299">
        <f>$C$56/1000</f>
        <v>2.7300000000000001E-2</v>
      </c>
      <c r="AA54" s="1300" t="s">
        <v>2</v>
      </c>
      <c r="AB54" s="1301">
        <f>$G$56/1000</f>
        <v>0.13750000000000001</v>
      </c>
      <c r="AC54" s="1299">
        <f>$C$56/1000</f>
        <v>2.7300000000000001E-2</v>
      </c>
      <c r="AD54" s="1300" t="s">
        <v>2</v>
      </c>
      <c r="AE54" s="1301">
        <f>$G$56/1000</f>
        <v>0.13750000000000001</v>
      </c>
      <c r="AF54" s="1299">
        <f>$C$56/1000</f>
        <v>2.7300000000000001E-2</v>
      </c>
      <c r="AG54" s="1300" t="s">
        <v>2</v>
      </c>
      <c r="AH54" s="1301">
        <f>$G$56/1000</f>
        <v>0.13750000000000001</v>
      </c>
      <c r="AI54" s="1299">
        <f>$C$56/1000</f>
        <v>2.7300000000000001E-2</v>
      </c>
      <c r="AJ54" s="1300" t="s">
        <v>2</v>
      </c>
      <c r="AK54" s="1301">
        <f>$G$56/1000</f>
        <v>0.13750000000000001</v>
      </c>
      <c r="AL54" s="1299">
        <f>$C$56/1000</f>
        <v>2.7300000000000001E-2</v>
      </c>
      <c r="AM54" s="1300" t="s">
        <v>2</v>
      </c>
      <c r="AN54" s="1301">
        <f>$G$56/1000</f>
        <v>0.13750000000000001</v>
      </c>
      <c r="AO54" s="1299">
        <f>$C$56/1000</f>
        <v>2.7300000000000001E-2</v>
      </c>
      <c r="AP54" s="1300" t="s">
        <v>2</v>
      </c>
      <c r="AQ54" s="1301">
        <f>$G$56/1000</f>
        <v>0.13750000000000001</v>
      </c>
      <c r="AR54" s="1299">
        <f>$C$56/1000</f>
        <v>2.7300000000000001E-2</v>
      </c>
      <c r="AS54" s="1300" t="s">
        <v>2</v>
      </c>
      <c r="AT54" s="1301">
        <f>$G$56/1000</f>
        <v>0.13750000000000001</v>
      </c>
      <c r="AU54" s="1299">
        <f>$C$56/1000</f>
        <v>2.7300000000000001E-2</v>
      </c>
      <c r="AV54" s="1300" t="s">
        <v>2</v>
      </c>
      <c r="AW54" s="1301">
        <f>$G$56/1000</f>
        <v>0.13750000000000001</v>
      </c>
      <c r="AX54" s="1299">
        <f>$C$56/1000</f>
        <v>2.7300000000000001E-2</v>
      </c>
      <c r="AY54" s="1300" t="s">
        <v>2</v>
      </c>
      <c r="AZ54" s="1301">
        <f>$G$56/1000</f>
        <v>0.13750000000000001</v>
      </c>
      <c r="BA54" s="1299">
        <f>$C$56/1000</f>
        <v>2.7300000000000001E-2</v>
      </c>
      <c r="BB54" s="1300" t="s">
        <v>2</v>
      </c>
      <c r="BC54" s="1301">
        <f>$G$56/1000</f>
        <v>0.13750000000000001</v>
      </c>
      <c r="BD54" s="1299">
        <f>$C$56/1000</f>
        <v>2.7300000000000001E-2</v>
      </c>
      <c r="BE54" s="1300" t="s">
        <v>2</v>
      </c>
      <c r="BF54" s="1301">
        <f>$G$56/1000</f>
        <v>0.13750000000000001</v>
      </c>
      <c r="BG54" s="1299">
        <f>$C$56/1000</f>
        <v>2.7300000000000001E-2</v>
      </c>
      <c r="BH54" s="1300" t="s">
        <v>2</v>
      </c>
      <c r="BI54" s="1301">
        <f>$G$56/1000</f>
        <v>0.13750000000000001</v>
      </c>
      <c r="BJ54" s="1299">
        <f>$C$56/1000</f>
        <v>2.7300000000000001E-2</v>
      </c>
      <c r="BK54" s="1300" t="s">
        <v>2</v>
      </c>
      <c r="BL54" s="1301">
        <f>$G$56/1000</f>
        <v>0.13750000000000001</v>
      </c>
      <c r="BM54" s="1299">
        <f>$C$56/1000</f>
        <v>2.7300000000000001E-2</v>
      </c>
      <c r="BN54" s="1300" t="s">
        <v>2</v>
      </c>
      <c r="BO54" s="1301">
        <f>$G$56/1000</f>
        <v>0.13750000000000001</v>
      </c>
      <c r="BP54" s="1299">
        <f>$C$56/1000</f>
        <v>2.7300000000000001E-2</v>
      </c>
      <c r="BQ54" s="1300" t="s">
        <v>2</v>
      </c>
      <c r="BR54" s="1301">
        <f>$G$56/1000</f>
        <v>0.13750000000000001</v>
      </c>
      <c r="BS54" s="1299">
        <f>$C$56/1000</f>
        <v>2.7300000000000001E-2</v>
      </c>
      <c r="BT54" s="1300" t="s">
        <v>2</v>
      </c>
      <c r="BU54" s="1301">
        <f>$G$56/1000</f>
        <v>0.13750000000000001</v>
      </c>
      <c r="BV54" s="1299">
        <f>$C$56/1000</f>
        <v>2.7300000000000001E-2</v>
      </c>
      <c r="BW54" s="1300" t="s">
        <v>2</v>
      </c>
      <c r="BX54" s="1301">
        <f>$G$56/1000</f>
        <v>0.13750000000000001</v>
      </c>
      <c r="BY54" s="1299">
        <f>$C$56/1000</f>
        <v>2.7300000000000001E-2</v>
      </c>
      <c r="BZ54" s="1300" t="s">
        <v>2</v>
      </c>
      <c r="CA54" s="1301">
        <f>$G$56/1000</f>
        <v>0.13750000000000001</v>
      </c>
    </row>
    <row r="55" spans="1:81" ht="13.5" thickBot="1" x14ac:dyDescent="0.25">
      <c r="A55" s="1302" t="s">
        <v>0</v>
      </c>
      <c r="B55" s="1303" t="s">
        <v>23</v>
      </c>
      <c r="C55" s="1304"/>
      <c r="D55" s="1304" t="s">
        <v>24</v>
      </c>
      <c r="E55" s="1305"/>
      <c r="F55" s="1306"/>
      <c r="G55" s="1134"/>
      <c r="H55" s="1307">
        <f>((I8^2+J8^2)*$C$57/1000+(I9^2+J9^2)*$G$57/1000+(I10^2+J10^2)*$J$57/1000)/$C$11^2</f>
        <v>9.8080134678432008E-3</v>
      </c>
      <c r="I55" s="1308" t="s">
        <v>2</v>
      </c>
      <c r="J55" s="1309">
        <f>((I8^2+J8^2)*$M$57+(I9^2+J9^2)*$P$57+(I10^2+J10^2)*$S$57)/(100*$C$11)</f>
        <v>0.30068141084928002</v>
      </c>
      <c r="K55" s="1307">
        <f>((L8^2+M8^2)*$C$57/1000+(L9^2+M9^2)*$G$57/1000+(L10^2+M10^2)*$J$57/1000)/$C$11^2</f>
        <v>8.7599605608864005E-3</v>
      </c>
      <c r="L55" s="1308" t="s">
        <v>2</v>
      </c>
      <c r="M55" s="1309">
        <f>((L8^2+M8^2)*$M$57+(L9^2+M9^2)*$P$57+(L10^2+M10^2)*$S$57)/(100*$C$11)</f>
        <v>0.26857535726016002</v>
      </c>
      <c r="N55" s="1307">
        <f>((O8^2+P8^2)*$C$57/1000+(O9^2+P9^2)*$G$57/1000+(O10^2+P10^2)*$J$57/1000)/$C$11^2</f>
        <v>8.2849298500512012E-3</v>
      </c>
      <c r="O55" s="1308" t="s">
        <v>2</v>
      </c>
      <c r="P55" s="1309">
        <f>((O8^2+P8^2)*$M$57+(O9^2+P9^2)*$P$57+(O10^2+P10^2)*$S$57)/(100*$C$11)</f>
        <v>0.25399990346688001</v>
      </c>
      <c r="Q55" s="1307">
        <f>((R8^2+S8^2)*$C$57/1000+(R9^2+S9^2)*$G$57/1000+(R10^2+S10^2)*$J$57/1000)/$C$11^2</f>
        <v>7.8841543533695983E-3</v>
      </c>
      <c r="R55" s="1308" t="s">
        <v>2</v>
      </c>
      <c r="S55" s="1309">
        <f>((R8^2+S8^2)*$M$57+(R9^2+S9^2)*$P$57+(R10^2+S10^2)*$S$57)/(100*$C$11)</f>
        <v>0.24171179808383994</v>
      </c>
      <c r="T55" s="1307">
        <f>((U8^2+V8^2)*$C$57/1000+(U9^2+V9^2)*$G$57/1000+(U10^2+V10^2)*$J$57/1000)/$C$11^2</f>
        <v>7.9154771933088001E-3</v>
      </c>
      <c r="U55" s="1308" t="s">
        <v>2</v>
      </c>
      <c r="V55" s="1309">
        <f>((U8^2+V8^2)*$M$57+(U9^2+V9^2)*$P$57+(U10^2+V10^2)*$S$57)/(100*$C$11)</f>
        <v>0.24269521600512006</v>
      </c>
      <c r="W55" s="1307">
        <f>((X8^2+Y8^2)*$C$57/1000+(X9^2+Y9^2)*$G$57/1000+(X10^2+Y10^2)*$J$57/1000)/$C$11^2</f>
        <v>8.6140914696000003E-3</v>
      </c>
      <c r="X55" s="1308" t="s">
        <v>2</v>
      </c>
      <c r="Y55" s="1309">
        <f>((X8^2+Y8^2)*$M$57+(X9^2+Y9^2)*$P$57+(X10^2+Y10^2)*$S$57)/(100*$C$11)</f>
        <v>0.26407847692800002</v>
      </c>
      <c r="Z55" s="1307">
        <f>((AA8^2+AB8^2)*$C$57/1000+(AA9^2+AB9^2)*$G$57/1000+(AA10^2+AB10^2)*$J$57/1000)/$C$11^2</f>
        <v>1.1037703444444802E-2</v>
      </c>
      <c r="AA55" s="1308" t="s">
        <v>2</v>
      </c>
      <c r="AB55" s="1309">
        <f>((AA8^2+AB8^2)*$M$57+(AA9^2+AB9^2)*$P$57+(AA10^2+AB10^2)*$S$57)/(100*$C$11)</f>
        <v>0.33837241128191997</v>
      </c>
      <c r="AC55" s="1307">
        <f>((AD8^2+AE8^2)*$C$57/1000+(AD9^2+AE9^2)*$G$57/1000+(AD10^2+AE10^2)*$J$57/1000)/$C$11^2</f>
        <v>1.4159071440345599E-2</v>
      </c>
      <c r="AD55" s="1308" t="s">
        <v>2</v>
      </c>
      <c r="AE55" s="1309">
        <f>((AD8^2+AE8^2)*$M$57+(AD9^2+AE9^2)*$P$57+(AD10^2+AE10^2)*$S$57)/(100*$C$11)</f>
        <v>0.43402546272383996</v>
      </c>
      <c r="AF55" s="1307">
        <f>((AG8^2+AH8^2)*$C$57/1000+(AG9^2+AH9^2)*$G$57/1000+(AG10^2+AH10^2)*$J$57/1000)/$C$11^2</f>
        <v>1.5253480082793602E-2</v>
      </c>
      <c r="AG55" s="1308" t="s">
        <v>2</v>
      </c>
      <c r="AH55" s="1309">
        <f>((AG8^2+AH8^2)*$M$57+(AG9^2+AH9^2)*$P$57+(AG10^2+AH10^2)*$S$57)/(100*$C$11)</f>
        <v>0.46758310274304005</v>
      </c>
      <c r="AI55" s="1307">
        <f>((AJ8^2+AK8^2)*$C$57/1000+(AJ9^2+AK9^2)*$G$57/1000+(AJ10^2+AK10^2)*$J$57/1000)/$C$11^2</f>
        <v>1.4901391684828803E-2</v>
      </c>
      <c r="AJ55" s="1308" t="s">
        <v>2</v>
      </c>
      <c r="AK55" s="1309">
        <f>((AJ8^2+AK8^2)*$M$57+(AJ9^2+AK9^2)*$P$57+(AJ10^2+AK10^2)*$S$57)/(100*$C$11)</f>
        <v>0.45675919590912001</v>
      </c>
      <c r="AL55" s="1307">
        <f>((AM8^2+AN8^2)*$C$57/1000+(AM9^2+AN9^2)*$G$57/1000+(AM10^2+AN10^2)*$J$57/1000)/$C$11^2</f>
        <v>1.5035492650751998E-2</v>
      </c>
      <c r="AM55" s="1308" t="s">
        <v>2</v>
      </c>
      <c r="AN55" s="1309">
        <f>((AM8^2+AN8^2)*$M$57+(AM9^2+AN9^2)*$P$57+(AM10^2+AN10^2)*$S$57)/(100*$C$11)</f>
        <v>0.46089921804479989</v>
      </c>
      <c r="AO55" s="1307">
        <f>((AP8^2+AQ8^2)*$C$57/1000+(AP9^2+AQ9^2)*$G$57/1000+(AP10^2+AQ10^2)*$J$57/1000)/$C$11^2</f>
        <v>1.5212793022848002E-2</v>
      </c>
      <c r="AP55" s="1308" t="s">
        <v>2</v>
      </c>
      <c r="AQ55" s="1309">
        <f>((AP8^2+AQ8^2)*$M$57+(AP9^2+AQ9^2)*$P$57+(AP10^2+AQ10^2)*$S$57)/(100*$C$11)</f>
        <v>0.46639894299839996</v>
      </c>
      <c r="AR55" s="1307">
        <f>((AS8^2+AT8^2)*$C$57/1000+(AS9^2+AT9^2)*$G$57/1000+(AS10^2+AT10^2)*$J$57/1000)/$C$11^2</f>
        <v>1.5584264814470401E-2</v>
      </c>
      <c r="AS55" s="1308" t="s">
        <v>2</v>
      </c>
      <c r="AT55" s="1309">
        <f>((AS8^2+AT8^2)*$M$57+(AS9^2+AT9^2)*$P$57+(AS10^2+AT10^2)*$S$57)/(100*$C$11)</f>
        <v>0.47775417039936002</v>
      </c>
      <c r="AU55" s="1307">
        <f>((AV8^2+AW8^2)*$C$57/1000+(AV9^2+AW9^2)*$G$57/1000+(AV10^2+AW10^2)*$J$57/1000)/$C$11^2</f>
        <v>1.5295334457888001E-2</v>
      </c>
      <c r="AV55" s="1308" t="s">
        <v>2</v>
      </c>
      <c r="AW55" s="1309">
        <f>((AV8^2+AW8^2)*$M$57+(AV9^2+AW9^2)*$P$57+(AV10^2+AW10^2)*$S$57)/(100*$C$11)</f>
        <v>0.46885507983360003</v>
      </c>
      <c r="AX55" s="1307">
        <f>((AY8^2+AZ8^2)*$C$57/1000+(AY9^2+AZ9^2)*$G$57/1000+(AY10^2+AZ10^2)*$J$57/1000)/$C$11^2</f>
        <v>1.4910673251110401E-2</v>
      </c>
      <c r="AY55" s="1308" t="s">
        <v>2</v>
      </c>
      <c r="AZ55" s="1309">
        <f>((AY8^2+AZ8^2)*$M$57+(AY9^2+AZ9^2)*$P$57+(AY10^2+AZ10^2)*$S$57)/(100*$C$11)</f>
        <v>0.45711277718975996</v>
      </c>
      <c r="BA55" s="1307">
        <f>((BB8^2+BC8^2)*$C$57/1000+(BB9^2+BC9^2)*$G$57/1000+(BB10^2+BC10^2)*$J$57/1000)/$C$11^2</f>
        <v>1.6169630909471999E-2</v>
      </c>
      <c r="BB55" s="1308" t="s">
        <v>2</v>
      </c>
      <c r="BC55" s="1309">
        <f>((BB8^2+BC8^2)*$M$57+(BB9^2+BC9^2)*$P$57+(BB10^2+BC10^2)*$S$57)/(100*$C$11)</f>
        <v>0.49569700161599994</v>
      </c>
      <c r="BD55" s="1307">
        <f>((BE8^2+BF8^2)*$C$57/1000+(BE9^2+BF9^2)*$G$57/1000+(BE10^2+BF10^2)*$J$57/1000)/$C$11^2</f>
        <v>1.7014874461084798E-2</v>
      </c>
      <c r="BE55" s="1308" t="s">
        <v>2</v>
      </c>
      <c r="BF55" s="1309">
        <f>((BE8^2+BF8^2)*$M$57+(BE9^2+BF9^2)*$P$57+(BE10^2+BF10^2)*$S$57)/(100*$C$11)</f>
        <v>0.52159490212032</v>
      </c>
      <c r="BG55" s="1307">
        <f>((BH8^2+BI8^2)*$C$57/1000+(BH9^2+BI9^2)*$G$57/1000+(BH10^2+BI10^2)*$J$57/1000)/$C$11^2</f>
        <v>1.7150823549504004E-2</v>
      </c>
      <c r="BH55" s="1308" t="s">
        <v>2</v>
      </c>
      <c r="BI55" s="1309">
        <f>((BH8^2+BI8^2)*$M$57+(BH9^2+BI9^2)*$P$57+(BH10^2+BI10^2)*$S$57)/(100*$C$11)</f>
        <v>0.52572995619840002</v>
      </c>
      <c r="BJ55" s="1307">
        <f>((BK8^2+BL8^2)*$C$57/1000+(BK9^2+BL9^2)*$G$57/1000+(BK10^2+BL10^2)*$J$57/1000)/$C$11^2</f>
        <v>1.79168135416128E-2</v>
      </c>
      <c r="BK55" s="1308" t="s">
        <v>2</v>
      </c>
      <c r="BL55" s="1309">
        <f>((BK8^2+BL8^2)*$M$57+(BK9^2+BL9^2)*$P$57+(BK10^2+BL10^2)*$S$57)/(100*$C$11)</f>
        <v>0.54918418119551993</v>
      </c>
      <c r="BM55" s="1307">
        <f>((BN8^2+BO8^2)*$C$57/1000+(BN9^2+BO9^2)*$G$57/1000+(BN10^2+BO10^2)*$J$57/1000)/$C$11^2</f>
        <v>1.8241071624345601E-2</v>
      </c>
      <c r="BN55" s="1308" t="s">
        <v>2</v>
      </c>
      <c r="BO55" s="1309">
        <f>((BN8^2+BO8^2)*$M$57+(BN9^2+BO9^2)*$P$57+(BN10^2+BO10^2)*$S$57)/(100*$C$11)</f>
        <v>0.55916612501184004</v>
      </c>
      <c r="BP55" s="1307">
        <f>((BQ8^2+BR8^2)*$C$57/1000+(BQ9^2+BR9^2)*$G$57/1000+(BQ10^2+BR10^2)*$J$57/1000)/$C$11^2</f>
        <v>1.7574017359449603E-2</v>
      </c>
      <c r="BQ55" s="1308" t="s">
        <v>2</v>
      </c>
      <c r="BR55" s="1309">
        <f>((BQ8^2+BR8^2)*$M$57+(BQ9^2+BR9^2)*$P$57+(BQ10^2+BR10^2)*$S$57)/(100*$C$11)</f>
        <v>0.5387317813958401</v>
      </c>
      <c r="BS55" s="1307">
        <f>((BT8^2+BU8^2)*$C$57/1000+(BT9^2+BU9^2)*$G$57/1000+(BT10^2+BU10^2)*$J$57/1000)/$C$11^2</f>
        <v>1.6286757661497599E-2</v>
      </c>
      <c r="BT55" s="1308" t="s">
        <v>2</v>
      </c>
      <c r="BU55" s="1309">
        <f>((BT8^2+BU8^2)*$M$57+(BT9^2+BU9^2)*$P$57+(BT10^2+BU10^2)*$S$57)/(100*$C$11)</f>
        <v>0.49928756802623991</v>
      </c>
      <c r="BV55" s="1307">
        <f>((BW8^2+BX8^2)*$C$57/1000+(BW9^2+BX9^2)*$G$57/1000+(BW10^2+BX10^2)*$J$57/1000)/$C$11^2</f>
        <v>1.4204363602780802E-2</v>
      </c>
      <c r="BW55" s="1308" t="s">
        <v>2</v>
      </c>
      <c r="BX55" s="1309">
        <f>((BW8^2+BX8^2)*$M$57+(BW9^2+BX9^2)*$P$57+(BW10^2+BX10^2)*$S$57)/(100*$C$11)</f>
        <v>0.4354589597587199</v>
      </c>
      <c r="BY55" s="1307">
        <f>((BZ8^2+CA8^2)*$C$57/1000+(BZ9^2+CA9^2)*$G$57/1000+(BZ10^2+CA10^2)*$J$57/1000)/$C$11^2</f>
        <v>1.1916778682764801E-2</v>
      </c>
      <c r="BZ55" s="1308" t="s">
        <v>2</v>
      </c>
      <c r="CA55" s="1309">
        <f>((BZ8^2+CA8^2)*$M$57+(BZ9^2+CA9^2)*$P$57+(BZ10^2+CA10^2)*$S$57)/(100*$C$11)</f>
        <v>0.36530247828671997</v>
      </c>
    </row>
    <row r="56" spans="1:81" x14ac:dyDescent="0.2">
      <c r="A56" s="1149"/>
      <c r="B56" s="1310" t="s">
        <v>304</v>
      </c>
      <c r="C56" s="1487">
        <v>27.3</v>
      </c>
      <c r="D56" s="1312"/>
      <c r="E56" s="1312"/>
      <c r="F56" s="1313" t="s">
        <v>305</v>
      </c>
      <c r="G56" s="1488">
        <v>137.5</v>
      </c>
      <c r="H56" s="1124"/>
      <c r="I56" s="1125"/>
      <c r="J56" s="1315"/>
      <c r="K56" s="1316"/>
      <c r="L56" s="1317"/>
      <c r="M56" s="1318"/>
      <c r="N56" s="1319"/>
      <c r="O56" s="1320"/>
      <c r="P56" s="1315"/>
      <c r="Q56" s="1316"/>
      <c r="R56" s="1317"/>
      <c r="S56" s="1321"/>
      <c r="T56" s="1316"/>
      <c r="U56" s="1317"/>
      <c r="V56" s="1321"/>
      <c r="W56" s="1316"/>
      <c r="X56" s="1317"/>
      <c r="Y56" s="1321"/>
      <c r="Z56" s="1316"/>
      <c r="AA56" s="1317"/>
      <c r="AB56" s="1321"/>
      <c r="AC56" s="1316"/>
      <c r="AD56" s="1317"/>
      <c r="AE56" s="1321"/>
      <c r="AF56" s="1316"/>
      <c r="AG56" s="1317"/>
      <c r="AH56" s="1321"/>
      <c r="AI56" s="1316"/>
      <c r="AJ56" s="1317"/>
      <c r="AK56" s="1321"/>
      <c r="AL56" s="1316"/>
      <c r="AM56" s="1317"/>
      <c r="AN56" s="1321"/>
      <c r="AO56" s="1316"/>
      <c r="AP56" s="1317"/>
      <c r="AQ56" s="1321"/>
      <c r="AR56" s="1316"/>
      <c r="AS56" s="1317"/>
      <c r="AT56" s="1321"/>
      <c r="AU56" s="1316"/>
      <c r="AV56" s="1317"/>
      <c r="AW56" s="1321"/>
      <c r="AX56" s="1316"/>
      <c r="AY56" s="1317"/>
      <c r="AZ56" s="1321"/>
      <c r="BA56" s="1316"/>
      <c r="BB56" s="1317"/>
      <c r="BC56" s="1321"/>
      <c r="BD56" s="1316"/>
      <c r="BE56" s="1317"/>
      <c r="BF56" s="1321"/>
      <c r="BG56" s="1316"/>
      <c r="BH56" s="1317"/>
      <c r="BI56" s="1321"/>
      <c r="BJ56" s="1316"/>
      <c r="BK56" s="1317"/>
      <c r="BL56" s="1321"/>
      <c r="BM56" s="1316"/>
      <c r="BN56" s="1317"/>
      <c r="BO56" s="1321"/>
      <c r="BP56" s="1316"/>
      <c r="BQ56" s="1317"/>
      <c r="BR56" s="1321"/>
      <c r="BS56" s="1316"/>
      <c r="BT56" s="1317"/>
      <c r="BU56" s="1321"/>
      <c r="BV56" s="1316"/>
      <c r="BW56" s="1317"/>
      <c r="BX56" s="1321"/>
      <c r="BY56" s="1316"/>
      <c r="BZ56" s="1317"/>
      <c r="CA56" s="1321"/>
    </row>
    <row r="57" spans="1:81" ht="13.5" thickBot="1" x14ac:dyDescent="0.25">
      <c r="A57" s="1149"/>
      <c r="B57" s="1322" t="s">
        <v>59</v>
      </c>
      <c r="C57" s="1323">
        <v>77.2</v>
      </c>
      <c r="D57" s="1324"/>
      <c r="E57" s="1325" t="s">
        <v>58</v>
      </c>
      <c r="F57" s="1326"/>
      <c r="G57" s="1324">
        <v>54.24</v>
      </c>
      <c r="H57" s="1206"/>
      <c r="I57" s="1489" t="s">
        <v>57</v>
      </c>
      <c r="J57" s="1490">
        <v>69.290000000000006</v>
      </c>
      <c r="K57" s="1330"/>
      <c r="L57" s="1328" t="s">
        <v>341</v>
      </c>
      <c r="M57" s="1330">
        <v>10.52</v>
      </c>
      <c r="N57" s="1195"/>
      <c r="O57" s="1328" t="s">
        <v>54</v>
      </c>
      <c r="P57" s="1329">
        <v>-0.5</v>
      </c>
      <c r="Q57" s="1330"/>
      <c r="R57" s="1330" t="s">
        <v>56</v>
      </c>
      <c r="S57" s="1331">
        <v>7.4</v>
      </c>
      <c r="T57" s="1330"/>
      <c r="U57" s="1330"/>
      <c r="V57" s="1331"/>
      <c r="W57" s="1330"/>
      <c r="X57" s="1330"/>
      <c r="Y57" s="1331"/>
      <c r="Z57" s="1330"/>
      <c r="AA57" s="1330"/>
      <c r="AB57" s="1331"/>
      <c r="AC57" s="1330"/>
      <c r="AD57" s="1330"/>
      <c r="AE57" s="1331"/>
      <c r="AF57" s="1330"/>
      <c r="AG57" s="1330"/>
      <c r="AH57" s="1331"/>
      <c r="AI57" s="1330"/>
      <c r="AJ57" s="1330"/>
      <c r="AK57" s="1331"/>
      <c r="AL57" s="1330"/>
      <c r="AM57" s="1330"/>
      <c r="AN57" s="1331"/>
      <c r="AO57" s="1330"/>
      <c r="AP57" s="1330"/>
      <c r="AQ57" s="1331"/>
      <c r="AR57" s="1330"/>
      <c r="AS57" s="1330"/>
      <c r="AT57" s="1331"/>
      <c r="AU57" s="1330"/>
      <c r="AV57" s="1330"/>
      <c r="AW57" s="1331"/>
      <c r="AX57" s="1330"/>
      <c r="AY57" s="1330"/>
      <c r="AZ57" s="1331"/>
      <c r="BA57" s="1330"/>
      <c r="BB57" s="1330"/>
      <c r="BC57" s="1331"/>
      <c r="BD57" s="1330"/>
      <c r="BE57" s="1330"/>
      <c r="BF57" s="1331"/>
      <c r="BG57" s="1330"/>
      <c r="BH57" s="1330"/>
      <c r="BI57" s="1331"/>
      <c r="BJ57" s="1330"/>
      <c r="BK57" s="1330"/>
      <c r="BL57" s="1331"/>
      <c r="BM57" s="1330"/>
      <c r="BN57" s="1330"/>
      <c r="BO57" s="1331"/>
      <c r="BP57" s="1330"/>
      <c r="BQ57" s="1330"/>
      <c r="BR57" s="1331"/>
      <c r="BS57" s="1330"/>
      <c r="BT57" s="1330"/>
      <c r="BU57" s="1331"/>
      <c r="BV57" s="1330"/>
      <c r="BW57" s="1330"/>
      <c r="BX57" s="1331"/>
      <c r="BY57" s="1330"/>
      <c r="BZ57" s="1330"/>
      <c r="CA57" s="1331"/>
    </row>
    <row r="58" spans="1:81" ht="13.5" thickBot="1" x14ac:dyDescent="0.25">
      <c r="A58" s="1332"/>
      <c r="B58" s="2406" t="s">
        <v>29</v>
      </c>
      <c r="C58" s="2407"/>
      <c r="D58" s="2407"/>
      <c r="E58" s="2407"/>
      <c r="F58" s="2407"/>
      <c r="G58" s="2408"/>
      <c r="H58" s="1333">
        <f>I8</f>
        <v>6.5010000000000003</v>
      </c>
      <c r="I58" s="1334" t="s">
        <v>2</v>
      </c>
      <c r="J58" s="1335">
        <f>J8</f>
        <v>0.62040000000000006</v>
      </c>
      <c r="K58" s="1333"/>
      <c r="L58" s="1334"/>
      <c r="M58" s="1335">
        <f>M8</f>
        <v>0.60060000000000002</v>
      </c>
      <c r="N58" s="1333">
        <f>O8</f>
        <v>5.9729999999999999</v>
      </c>
      <c r="O58" s="1334" t="s">
        <v>2</v>
      </c>
      <c r="P58" s="1335">
        <f>P8</f>
        <v>0.60059999999999991</v>
      </c>
      <c r="Q58" s="1491">
        <f>R8</f>
        <v>5.8277999999999999</v>
      </c>
      <c r="R58" s="1334" t="s">
        <v>2</v>
      </c>
      <c r="S58" s="1335">
        <f>S8</f>
        <v>0.57420000000000004</v>
      </c>
      <c r="T58" s="1333">
        <f>U8</f>
        <v>5.8410000000000002</v>
      </c>
      <c r="U58" s="1334" t="s">
        <v>2</v>
      </c>
      <c r="V58" s="1335">
        <f>V8</f>
        <v>0.58079999999999998</v>
      </c>
      <c r="W58" s="1333">
        <f>X8</f>
        <v>6.0918000000000001</v>
      </c>
      <c r="X58" s="1334" t="s">
        <v>2</v>
      </c>
      <c r="Y58" s="1335">
        <f>Y8</f>
        <v>0.58739999999999992</v>
      </c>
      <c r="Z58" s="1333">
        <f>AA8</f>
        <v>6.8970000000000002</v>
      </c>
      <c r="AA58" s="1334" t="s">
        <v>2</v>
      </c>
      <c r="AB58" s="1335">
        <f>AB8</f>
        <v>0.64679999999999993</v>
      </c>
      <c r="AC58" s="1333">
        <f>AD8</f>
        <v>7.8077999999999994</v>
      </c>
      <c r="AD58" s="1334" t="s">
        <v>2</v>
      </c>
      <c r="AE58" s="1335">
        <f>AE8</f>
        <v>0.74579999999999991</v>
      </c>
      <c r="AF58" s="1333">
        <f>AG8</f>
        <v>8.1048000000000009</v>
      </c>
      <c r="AG58" s="1334" t="s">
        <v>2</v>
      </c>
      <c r="AH58" s="1335">
        <f>AH8</f>
        <v>0.7722</v>
      </c>
      <c r="AI58" s="1333">
        <f>AJ8</f>
        <v>8.0058000000000007</v>
      </c>
      <c r="AJ58" s="1334" t="s">
        <v>2</v>
      </c>
      <c r="AK58" s="1335">
        <f>AK8</f>
        <v>0.79200000000000004</v>
      </c>
      <c r="AL58" s="1333">
        <f>AM8</f>
        <v>8.045399999999999</v>
      </c>
      <c r="AM58" s="1334" t="s">
        <v>2</v>
      </c>
      <c r="AN58" s="1335">
        <f>AN8</f>
        <v>0.77879999999999994</v>
      </c>
      <c r="AO58" s="1333">
        <f>AP8</f>
        <v>8.0915999999999997</v>
      </c>
      <c r="AP58" s="1334" t="s">
        <v>2</v>
      </c>
      <c r="AQ58" s="1335">
        <f>AQ8</f>
        <v>0.83820000000000006</v>
      </c>
      <c r="AR58" s="1333">
        <f>AS8</f>
        <v>8.1905999999999999</v>
      </c>
      <c r="AS58" s="1334" t="s">
        <v>2</v>
      </c>
      <c r="AT58" s="1335">
        <f>AT8</f>
        <v>0.81840000000000002</v>
      </c>
      <c r="AU58" s="1333">
        <f>AV8</f>
        <v>8.1113999999999997</v>
      </c>
      <c r="AV58" s="1334" t="s">
        <v>2</v>
      </c>
      <c r="AW58" s="1335">
        <f>AW8</f>
        <v>0.81179999999999997</v>
      </c>
      <c r="AX58" s="1333">
        <f>AY8</f>
        <v>8.0123999999999995</v>
      </c>
      <c r="AY58" s="1334" t="s">
        <v>2</v>
      </c>
      <c r="AZ58" s="1335">
        <f>AZ8</f>
        <v>0.79859999999999998</v>
      </c>
      <c r="BA58" s="1333">
        <f>BB8</f>
        <v>8.3423999999999996</v>
      </c>
      <c r="BB58" s="1334" t="s">
        <v>2</v>
      </c>
      <c r="BC58" s="1335">
        <f>BC8</f>
        <v>0.83820000000000006</v>
      </c>
      <c r="BD58" s="1333">
        <f>BE8</f>
        <v>8.5602</v>
      </c>
      <c r="BE58" s="1334" t="s">
        <v>2</v>
      </c>
      <c r="BF58" s="1335">
        <f>BF8</f>
        <v>0.82499999999999996</v>
      </c>
      <c r="BG58" s="1333">
        <f>BH8</f>
        <v>8.5932000000000013</v>
      </c>
      <c r="BH58" s="1334" t="s">
        <v>2</v>
      </c>
      <c r="BI58" s="1335">
        <f>BI8</f>
        <v>0.81840000000000013</v>
      </c>
      <c r="BJ58" s="1333">
        <f>BK8</f>
        <v>8.7780000000000005</v>
      </c>
      <c r="BK58" s="1334" t="s">
        <v>2</v>
      </c>
      <c r="BL58" s="1335">
        <f>BL8</f>
        <v>0.87120000000000009</v>
      </c>
      <c r="BM58" s="1333">
        <f>BN8</f>
        <v>8.8572000000000006</v>
      </c>
      <c r="BN58" s="1334" t="s">
        <v>2</v>
      </c>
      <c r="BO58" s="1335">
        <f>BO8</f>
        <v>0.9042</v>
      </c>
      <c r="BP58" s="1333">
        <f>BQ8</f>
        <v>8.6922000000000015</v>
      </c>
      <c r="BQ58" s="1334" t="s">
        <v>2</v>
      </c>
      <c r="BR58" s="1335">
        <f>BR8</f>
        <v>0.91079999999999994</v>
      </c>
      <c r="BS58" s="1333">
        <f>BT8</f>
        <v>8.3687999999999985</v>
      </c>
      <c r="BT58" s="1334" t="s">
        <v>2</v>
      </c>
      <c r="BU58" s="1335">
        <f>BU8</f>
        <v>0.87779999999999991</v>
      </c>
      <c r="BV58" s="1333">
        <f>BW8</f>
        <v>7.8209999999999997</v>
      </c>
      <c r="BW58" s="1334" t="s">
        <v>2</v>
      </c>
      <c r="BX58" s="1335">
        <f>BX8</f>
        <v>0.7722</v>
      </c>
      <c r="BY58" s="1333">
        <f>BZ8</f>
        <v>7.1609999999999996</v>
      </c>
      <c r="BZ58" s="1334" t="s">
        <v>2</v>
      </c>
      <c r="CA58" s="1335">
        <f>CA8</f>
        <v>0.71279999999999999</v>
      </c>
    </row>
    <row r="59" spans="1:81" x14ac:dyDescent="0.2">
      <c r="A59" s="1336"/>
      <c r="B59" s="1297" t="s">
        <v>22</v>
      </c>
      <c r="C59" s="1257"/>
      <c r="D59" s="1298" t="s">
        <v>45</v>
      </c>
      <c r="E59" s="1257"/>
      <c r="F59" s="1257"/>
      <c r="G59" s="1257"/>
      <c r="H59" s="1299">
        <f>$C$61/1000</f>
        <v>2.35E-2</v>
      </c>
      <c r="I59" s="1300" t="s">
        <v>2</v>
      </c>
      <c r="J59" s="1301">
        <f>$G$61/1000</f>
        <v>0.13500000000000001</v>
      </c>
      <c r="K59" s="1299">
        <f>$C$61/1000</f>
        <v>2.35E-2</v>
      </c>
      <c r="L59" s="1300" t="s">
        <v>2</v>
      </c>
      <c r="M59" s="1301">
        <f>$G$61/1000</f>
        <v>0.13500000000000001</v>
      </c>
      <c r="N59" s="1299">
        <f>$C$61/1000</f>
        <v>2.35E-2</v>
      </c>
      <c r="O59" s="1300" t="s">
        <v>2</v>
      </c>
      <c r="P59" s="1301">
        <f>$G$61/1000</f>
        <v>0.13500000000000001</v>
      </c>
      <c r="Q59" s="1299">
        <f>$C$61/1000</f>
        <v>2.35E-2</v>
      </c>
      <c r="R59" s="1300" t="s">
        <v>2</v>
      </c>
      <c r="S59" s="1301">
        <f>$G$61/1000</f>
        <v>0.13500000000000001</v>
      </c>
      <c r="T59" s="1299">
        <f>$C$61/1000</f>
        <v>2.35E-2</v>
      </c>
      <c r="U59" s="1300" t="s">
        <v>2</v>
      </c>
      <c r="V59" s="1301">
        <f>$G$61/1000</f>
        <v>0.13500000000000001</v>
      </c>
      <c r="W59" s="1299">
        <f>$C$61/1000</f>
        <v>2.35E-2</v>
      </c>
      <c r="X59" s="1300" t="s">
        <v>2</v>
      </c>
      <c r="Y59" s="1301">
        <f>$G$61/1000</f>
        <v>0.13500000000000001</v>
      </c>
      <c r="Z59" s="1299">
        <f>$C$61/1000</f>
        <v>2.35E-2</v>
      </c>
      <c r="AA59" s="1300" t="s">
        <v>2</v>
      </c>
      <c r="AB59" s="1301">
        <f>$G$61/1000</f>
        <v>0.13500000000000001</v>
      </c>
      <c r="AC59" s="1299">
        <f>$C$61/1000</f>
        <v>2.35E-2</v>
      </c>
      <c r="AD59" s="1300" t="s">
        <v>2</v>
      </c>
      <c r="AE59" s="1301">
        <f>$G$61/1000</f>
        <v>0.13500000000000001</v>
      </c>
      <c r="AF59" s="1299">
        <f>$C$61/1000</f>
        <v>2.35E-2</v>
      </c>
      <c r="AG59" s="1300" t="s">
        <v>2</v>
      </c>
      <c r="AH59" s="1301">
        <f>$G$61/1000</f>
        <v>0.13500000000000001</v>
      </c>
      <c r="AI59" s="1299">
        <f>$C$61/1000</f>
        <v>2.35E-2</v>
      </c>
      <c r="AJ59" s="1300" t="s">
        <v>2</v>
      </c>
      <c r="AK59" s="1301">
        <f>$G$61/1000</f>
        <v>0.13500000000000001</v>
      </c>
      <c r="AL59" s="1299">
        <f>$C$61/1000</f>
        <v>2.35E-2</v>
      </c>
      <c r="AM59" s="1300" t="s">
        <v>2</v>
      </c>
      <c r="AN59" s="1301">
        <f>$G$61/1000</f>
        <v>0.13500000000000001</v>
      </c>
      <c r="AO59" s="1299">
        <f>$C$61/1000</f>
        <v>2.35E-2</v>
      </c>
      <c r="AP59" s="1300" t="s">
        <v>2</v>
      </c>
      <c r="AQ59" s="1301">
        <f>$G$61/1000</f>
        <v>0.13500000000000001</v>
      </c>
      <c r="AR59" s="1299">
        <f>$C$61/1000</f>
        <v>2.35E-2</v>
      </c>
      <c r="AS59" s="1300" t="s">
        <v>2</v>
      </c>
      <c r="AT59" s="1301">
        <f>$G$61/1000</f>
        <v>0.13500000000000001</v>
      </c>
      <c r="AU59" s="1299">
        <f>$C$61/1000</f>
        <v>2.35E-2</v>
      </c>
      <c r="AV59" s="1300" t="s">
        <v>2</v>
      </c>
      <c r="AW59" s="1301">
        <f>$G$61/1000</f>
        <v>0.13500000000000001</v>
      </c>
      <c r="AX59" s="1299">
        <f>$C$61/1000</f>
        <v>2.35E-2</v>
      </c>
      <c r="AY59" s="1300" t="s">
        <v>2</v>
      </c>
      <c r="AZ59" s="1301">
        <f>$G$61/1000</f>
        <v>0.13500000000000001</v>
      </c>
      <c r="BA59" s="1299">
        <f>$C$61/1000</f>
        <v>2.35E-2</v>
      </c>
      <c r="BB59" s="1300" t="s">
        <v>2</v>
      </c>
      <c r="BC59" s="1301">
        <f>$G$61/1000</f>
        <v>0.13500000000000001</v>
      </c>
      <c r="BD59" s="1299">
        <f>$C$61/1000</f>
        <v>2.35E-2</v>
      </c>
      <c r="BE59" s="1300" t="s">
        <v>2</v>
      </c>
      <c r="BF59" s="1301">
        <f>$G$61/1000</f>
        <v>0.13500000000000001</v>
      </c>
      <c r="BG59" s="1299">
        <f>$C$61/1000</f>
        <v>2.35E-2</v>
      </c>
      <c r="BH59" s="1300" t="s">
        <v>2</v>
      </c>
      <c r="BI59" s="1301">
        <f>$G$61/1000</f>
        <v>0.13500000000000001</v>
      </c>
      <c r="BJ59" s="1299">
        <f>$C$61/1000</f>
        <v>2.35E-2</v>
      </c>
      <c r="BK59" s="1300" t="s">
        <v>2</v>
      </c>
      <c r="BL59" s="1301">
        <f>$G$61/1000</f>
        <v>0.13500000000000001</v>
      </c>
      <c r="BM59" s="1299">
        <f>$C$61/1000</f>
        <v>2.35E-2</v>
      </c>
      <c r="BN59" s="1300" t="s">
        <v>2</v>
      </c>
      <c r="BO59" s="1301">
        <f>$G$61/1000</f>
        <v>0.13500000000000001</v>
      </c>
      <c r="BP59" s="1299">
        <f>$C$61/1000</f>
        <v>2.35E-2</v>
      </c>
      <c r="BQ59" s="1300" t="s">
        <v>2</v>
      </c>
      <c r="BR59" s="1301">
        <f>$G$61/1000</f>
        <v>0.13500000000000001</v>
      </c>
      <c r="BS59" s="1299">
        <f>$C$61/1000</f>
        <v>2.35E-2</v>
      </c>
      <c r="BT59" s="1300" t="s">
        <v>2</v>
      </c>
      <c r="BU59" s="1301">
        <f>$G$61/1000</f>
        <v>0.13500000000000001</v>
      </c>
      <c r="BV59" s="1299">
        <f>$C$61/1000</f>
        <v>2.35E-2</v>
      </c>
      <c r="BW59" s="1300" t="s">
        <v>2</v>
      </c>
      <c r="BX59" s="1301">
        <f>$G$61/1000</f>
        <v>0.13500000000000001</v>
      </c>
      <c r="BY59" s="1299">
        <f>$C$61/1000</f>
        <v>2.35E-2</v>
      </c>
      <c r="BZ59" s="1300" t="s">
        <v>2</v>
      </c>
      <c r="CA59" s="1301">
        <f>$G$61/1000</f>
        <v>0.13500000000000001</v>
      </c>
    </row>
    <row r="60" spans="1:81" ht="13.5" thickBot="1" x14ac:dyDescent="0.25">
      <c r="A60" s="1337" t="s">
        <v>1</v>
      </c>
      <c r="B60" s="1303" t="s">
        <v>23</v>
      </c>
      <c r="C60" s="1304"/>
      <c r="D60" s="1304" t="s">
        <v>24</v>
      </c>
      <c r="E60" s="1305"/>
      <c r="F60" s="1306"/>
      <c r="G60" s="1338"/>
      <c r="H60" s="1307">
        <f>((I16^2+J16^2)*$C$62/1000+(I17^2+J17^2)*$G$62/1000+(I18^2+J18^2)*$J$62/1000)/$C$19^2</f>
        <v>6.603503022432E-3</v>
      </c>
      <c r="I60" s="1308" t="s">
        <v>2</v>
      </c>
      <c r="J60" s="1309">
        <f>((I16^2+J16^2)*$M$62+(I17^2+J17^2)*$P$62+(I18^2+J18^2)*$S$62)/(100*$C$11)</f>
        <v>0.21918660773760001</v>
      </c>
      <c r="K60" s="1307">
        <f>((L16^2+M16^2)*$C$62/1000+(L17^2+M17^2)*$G$62/1000+(L18^2+M18^2)*$J$62/1000)/$C$19^2</f>
        <v>5.7572950219199996E-3</v>
      </c>
      <c r="L60" s="1308" t="s">
        <v>2</v>
      </c>
      <c r="M60" s="1309">
        <f>((L16^2+M16^2)*$M$62+(L17^2+M17^2)*$P$62+(L18^2+M18^2)*$S$62)/(100*$C$11)</f>
        <v>0.19110586780799999</v>
      </c>
      <c r="N60" s="1307">
        <f>((O16^2+P16^2)*$C$62/1000+(O17^2+P17^2)*$G$62/1000+(O18^2+P18^2)*$J$62/1000)/$C$19^2</f>
        <v>5.2864519864896011E-3</v>
      </c>
      <c r="O60" s="1308" t="s">
        <v>2</v>
      </c>
      <c r="P60" s="1309">
        <f>((O16^2+P16^2)*$M$62+(O17^2+P17^2)*$P$62+(O18^2+P18^2)*$S$62)/(100*$C$11)</f>
        <v>0.17548107776928001</v>
      </c>
      <c r="Q60" s="1307">
        <f>((R16^2+S16^2)*$C$62/1000+(R17^2+S17^2)*$G$62/1000+(R18^2+S18^2)*$J$62/1000)/$C$19^2</f>
        <v>5.0920998802559993E-3</v>
      </c>
      <c r="R60" s="1308" t="s">
        <v>2</v>
      </c>
      <c r="S60" s="1309">
        <f>((R16^2+S16^2)*$M$62+(R17^2+S17^2)*$P$62+(R18^2+S18^2)*$S$62)/(100*$C$11)</f>
        <v>0.16903950994079997</v>
      </c>
      <c r="T60" s="1307">
        <f>((U16^2+V16^2)*$C$62/1000+(U17^2+V17^2)*$G$62/1000+(U18^2+V18^2)*$J$62/1000)/$C$19^2</f>
        <v>5.097237777216E-3</v>
      </c>
      <c r="U60" s="1308" t="s">
        <v>2</v>
      </c>
      <c r="V60" s="1309">
        <f>((U16^2+V16^2)*$M$62+(U17^2+V17^2)*$P$62+(U18^2+V18^2)*$S$62)/(100*$C$11)</f>
        <v>0.1691939153808</v>
      </c>
      <c r="W60" s="1307">
        <f>((X16^2+Y16^2)*$C$62/1000+(X17^2+Y17^2)*$G$62/1000+(X18^2+Y18^2)*$J$62/1000)/$C$19^2</f>
        <v>5.4206185764672015E-3</v>
      </c>
      <c r="X60" s="1308" t="s">
        <v>2</v>
      </c>
      <c r="Y60" s="1309">
        <f>((X16^2+Y16^2)*$M$62+(X17^2+Y17^2)*$P$62+(X18^2+Y18^2)*$S$62)/(100*$C$11)</f>
        <v>0.17993462980896002</v>
      </c>
      <c r="Z60" s="1307">
        <f>((AA16^2+AB16^2)*$C$62/1000+(AA17^2+AB17^2)*$G$62/1000+(AA18^2+AB18^2)*$J$62/1000)/$C$19^2</f>
        <v>7.1627167684799996E-3</v>
      </c>
      <c r="AA60" s="1308" t="s">
        <v>2</v>
      </c>
      <c r="AB60" s="1309">
        <f>((AA16^2+AB16^2)*$M$62+(AA17^2+AB17^2)*$P$62+(AA18^2+AB18^2)*$S$62)/(100*$C$11)</f>
        <v>0.23779008345600006</v>
      </c>
      <c r="AC60" s="1307">
        <f>((AD16^2+AE16^2)*$C$62/1000+(AD17^2+AE17^2)*$G$62/1000+(AD18^2+AE18^2)*$J$62/1000)/$C$19^2</f>
        <v>9.024510433536E-3</v>
      </c>
      <c r="AD60" s="1308" t="s">
        <v>2</v>
      </c>
      <c r="AE60" s="1309">
        <f>((AD16^2+AE16^2)*$M$62+(AD17^2+AE17^2)*$P$62+(AD18^2+AE18^2)*$S$62)/(100*$C$11)</f>
        <v>0.29954332003680001</v>
      </c>
      <c r="AF60" s="1307">
        <f>((AG16^2+AH16^2)*$C$62/1000+(AG17^2+AH17^2)*$G$62/1000+(AG18^2+AH18^2)*$J$62/1000)/$C$19^2</f>
        <v>9.1555647035904009E-3</v>
      </c>
      <c r="AG60" s="1308" t="s">
        <v>2</v>
      </c>
      <c r="AH60" s="1309">
        <f>((AG16^2+AH16^2)*$M$62+(AG17^2+AH17^2)*$P$62+(AG18^2+AH18^2)*$S$62)/(100*$C$11)</f>
        <v>0.30393297509472006</v>
      </c>
      <c r="AI60" s="1307">
        <f>((AJ16^2+AK16^2)*$C$62/1000+(AJ17^2+AK17^2)*$G$62/1000+(AJ18^2+AK18^2)*$J$62/1000)/$C$19^2</f>
        <v>9.0454708732032006E-3</v>
      </c>
      <c r="AJ60" s="1308" t="s">
        <v>2</v>
      </c>
      <c r="AK60" s="1309">
        <f>((AJ16^2+AK16^2)*$M$62+(AJ17^2+AK17^2)*$P$62+(AJ18^2+AK18^2)*$S$62)/(100*$C$11)</f>
        <v>0.30024810569375998</v>
      </c>
      <c r="AL60" s="1307">
        <f>((AM16^2+AN16^2)*$C$62/1000+(AM17^2+AN17^2)*$G$62/1000+(AM18^2+AN18^2)*$J$62/1000)/$C$19^2</f>
        <v>9.4727078343359999E-3</v>
      </c>
      <c r="AM60" s="1308" t="s">
        <v>2</v>
      </c>
      <c r="AN60" s="1309">
        <f>((AM16^2+AN16^2)*$M$62+(AM17^2+AN17^2)*$P$62+(AM18^2+AN18^2)*$S$62)/(100*$C$11)</f>
        <v>0.31443456890880006</v>
      </c>
      <c r="AO60" s="1307">
        <f>((AP16^2+AQ16^2)*$C$62/1000+(AP17^2+AQ17^2)*$G$62/1000+(AP18^2+AQ18^2)*$J$62/1000)/$C$19^2</f>
        <v>9.3702348413568001E-3</v>
      </c>
      <c r="AP60" s="1308" t="s">
        <v>2</v>
      </c>
      <c r="AQ60" s="1309">
        <f>((AP16^2+AQ16^2)*$M$62+(AP17^2+AQ17^2)*$P$62+(AP18^2+AQ18^2)*$S$62)/(100*$C$11)</f>
        <v>0.31104196552224</v>
      </c>
      <c r="AR60" s="1307">
        <f>((AS16^2+AT16^2)*$C$62/1000+(AS17^2+AT17^2)*$G$62/1000+(AS18^2+AT18^2)*$J$62/1000)/$C$19^2</f>
        <v>9.5159478909311989E-3</v>
      </c>
      <c r="AS60" s="1308" t="s">
        <v>2</v>
      </c>
      <c r="AT60" s="1309">
        <f>((AS16^2+AT16^2)*$M$62+(AS17^2+AT17^2)*$P$62+(AS18^2+AT18^2)*$S$62)/(100*$C$11)</f>
        <v>0.31584257116416004</v>
      </c>
      <c r="AU60" s="1307">
        <f>((AV16^2+AW16^2)*$C$62/1000+(AV17^2+AW17^2)*$G$62/1000+(AV18^2+AW18^2)*$J$62/1000)/$C$19^2</f>
        <v>9.2916462271680021E-3</v>
      </c>
      <c r="AV60" s="1308" t="s">
        <v>2</v>
      </c>
      <c r="AW60" s="1309">
        <f>((AV16^2+AW16^2)*$M$62+(AV17^2+AW17^2)*$P$62+(AV18^2+AW18^2)*$S$62)/(100*$C$11)</f>
        <v>0.3084208346304001</v>
      </c>
      <c r="AX60" s="1307">
        <f>((AY16^2+AZ16^2)*$C$62/1000+(AY17^2+AZ17^2)*$G$62/1000+(AY18^2+AZ18^2)*$J$62/1000)/$C$19^2</f>
        <v>9.2421589579200006E-3</v>
      </c>
      <c r="AY60" s="1308" t="s">
        <v>2</v>
      </c>
      <c r="AZ60" s="1309">
        <f>((AY16^2+AZ16^2)*$M$62+(AY17^2+AZ17^2)*$P$62+(AY18^2+AZ18^2)*$S$62)/(100*$C$11)</f>
        <v>0.30676967827200008</v>
      </c>
      <c r="BA60" s="1307">
        <f>((BB16^2+BC16^2)*$C$62/1000+(BB17^2+BC17^2)*$G$62/1000+(BB18^2+BC18^2)*$J$62/1000)/$C$19^2</f>
        <v>1.0097081147519999E-2</v>
      </c>
      <c r="BB60" s="1308" t="s">
        <v>2</v>
      </c>
      <c r="BC60" s="1309">
        <f>((BB16^2+BC16^2)*$M$62+(BB17^2+BC17^2)*$P$62+(BB18^2+BC18^2)*$S$62)/(100*$C$11)</f>
        <v>0.335154414096</v>
      </c>
      <c r="BD60" s="1307">
        <f>((BE16^2+BF16^2)*$C$62/1000+(BE17^2+BF17^2)*$G$62/1000+(BE18^2+BF18^2)*$J$62/1000)/$C$19^2</f>
        <v>1.0910385E-2</v>
      </c>
      <c r="BE60" s="1308" t="s">
        <v>2</v>
      </c>
      <c r="BF60" s="1309">
        <f>((BE16^2+BF16^2)*$M$62+(BE17^2+BF17^2)*$P$62+(BE18^2+BF18^2)*$S$62)/(100*$C$11)</f>
        <v>0.36213982567199998</v>
      </c>
      <c r="BG60" s="1307">
        <f>((BH16^2+BI16^2)*$C$62/1000+(BH17^2+BI17^2)*$G$62/1000+(BH18^2+BI18^2)*$J$62/1000)/$C$19^2</f>
        <v>1.1169834653721599E-2</v>
      </c>
      <c r="BH60" s="1308" t="s">
        <v>2</v>
      </c>
      <c r="BI60" s="1309">
        <f>((BH16^2+BI16^2)*$M$62+(BH17^2+BI17^2)*$P$62+(BH18^2+BI18^2)*$S$62)/(100*$C$11)</f>
        <v>0.37077984698687999</v>
      </c>
      <c r="BJ60" s="1307">
        <f>((BK16^2+BL16^2)*$C$62/1000+(BK17^2+BL17^2)*$G$62/1000+(BK18^2+BL18^2)*$J$62/1000)/$C$19^2</f>
        <v>1.1459157556838399E-2</v>
      </c>
      <c r="BK60" s="1308" t="s">
        <v>2</v>
      </c>
      <c r="BL60" s="1309">
        <f>((BK16^2+BL16^2)*$M$62+(BK17^2+BL17^2)*$P$62+(BK18^2+BL18^2)*$S$62)/(100*$C$11)</f>
        <v>0.38036912262911998</v>
      </c>
      <c r="BM60" s="1307">
        <f>((BN16^2+BO16^2)*$C$62/1000+(BN17^2+BO17^2)*$G$62/1000+(BN18^2+BO18^2)*$J$62/1000)/$C$19^2</f>
        <v>1.1360213052364799E-2</v>
      </c>
      <c r="BN60" s="1308" t="s">
        <v>2</v>
      </c>
      <c r="BO60" s="1309">
        <f>((BN16^2+BO16^2)*$M$62+(BN17^2+BO17^2)*$P$62+(BN18^2+BO18^2)*$S$62)/(100*$C$11)</f>
        <v>0.37707295220064002</v>
      </c>
      <c r="BP60" s="1307">
        <f>((BQ16^2+BR16^2)*$C$62/1000+(BQ17^2+BR17^2)*$G$62/1000+(BQ18^2+BR18^2)*$J$62/1000)/$C$19^2</f>
        <v>1.1096900736364801E-2</v>
      </c>
      <c r="BQ60" s="1308" t="s">
        <v>2</v>
      </c>
      <c r="BR60" s="1309">
        <f>((BQ16^2+BR16^2)*$M$62+(BQ17^2+BR17^2)*$P$62+(BQ18^2+BR18^2)*$S$62)/(100*$C$11)</f>
        <v>0.36834499138464005</v>
      </c>
      <c r="BS60" s="1307">
        <f>((BT16^2+BU16^2)*$C$62/1000+(BT17^2+BU17^2)*$G$62/1000+(BT18^2+BU18^2)*$J$62/1000)/$C$19^2</f>
        <v>1.0421067638592E-2</v>
      </c>
      <c r="BT60" s="1308" t="s">
        <v>2</v>
      </c>
      <c r="BU60" s="1309">
        <f>((BT16^2+BU16^2)*$M$62+(BT17^2+BU17^2)*$P$62+(BT18^2+BU18^2)*$S$62)/(100*$C$11)</f>
        <v>0.34591578176159998</v>
      </c>
      <c r="BV60" s="1307">
        <f>((BW16^2+BX16^2)*$C$62/1000+(BW17^2+BX17^2)*$G$62/1000+(BW18^2+BX18^2)*$J$62/1000)/$C$19^2</f>
        <v>9.3253581080063978E-3</v>
      </c>
      <c r="BW60" s="1308" t="s">
        <v>2</v>
      </c>
      <c r="BX60" s="1309">
        <f>((BW16^2+BX16^2)*$M$62+(BW17^2+BX17^2)*$P$62+(BW18^2+BX18^2)*$S$62)/(100*$C$11)</f>
        <v>0.30955370545152</v>
      </c>
      <c r="BY60" s="1307">
        <f>((BZ16^2+CA16^2)*$C$62/1000+(BZ17^2+CA17^2)*$G$62/1000+(BZ18^2+CA18^2)*$J$62/1000)/$C$19^2</f>
        <v>7.9161970434048021E-3</v>
      </c>
      <c r="BZ60" s="1308" t="s">
        <v>2</v>
      </c>
      <c r="CA60" s="1309">
        <f>((BZ16^2+CA16^2)*$M$62+(BZ17^2+CA17^2)*$P$62+(BZ18^2+CA18^2)*$S$62)/(100*$C$11)</f>
        <v>0.26277897507264009</v>
      </c>
    </row>
    <row r="61" spans="1:81" x14ac:dyDescent="0.2">
      <c r="A61" s="1339"/>
      <c r="B61" s="1340" t="s">
        <v>304</v>
      </c>
      <c r="C61" s="1487">
        <v>23.5</v>
      </c>
      <c r="D61" s="1312"/>
      <c r="E61" s="1312"/>
      <c r="F61" s="1313" t="s">
        <v>305</v>
      </c>
      <c r="G61" s="1488">
        <v>135</v>
      </c>
      <c r="H61" s="1124"/>
      <c r="I61" s="1125"/>
      <c r="J61" s="1424"/>
      <c r="K61" s="1346"/>
      <c r="L61" s="1492"/>
      <c r="M61" s="1493"/>
      <c r="N61" s="1342"/>
      <c r="O61" s="1425"/>
      <c r="P61" s="1424"/>
      <c r="Q61" s="1346"/>
      <c r="R61" s="1492"/>
      <c r="S61" s="1493"/>
      <c r="T61" s="1346"/>
      <c r="U61" s="1492"/>
      <c r="V61" s="1493"/>
      <c r="W61" s="1346"/>
      <c r="X61" s="1492"/>
      <c r="Y61" s="1493"/>
      <c r="Z61" s="1346"/>
      <c r="AA61" s="1492"/>
      <c r="AB61" s="1493"/>
      <c r="AC61" s="1346"/>
      <c r="AD61" s="1492"/>
      <c r="AE61" s="1493"/>
      <c r="AF61" s="1346"/>
      <c r="AG61" s="1492"/>
      <c r="AH61" s="1493"/>
      <c r="AI61" s="1346"/>
      <c r="AJ61" s="1492"/>
      <c r="AK61" s="1493"/>
      <c r="AL61" s="1346"/>
      <c r="AM61" s="1492"/>
      <c r="AN61" s="1493"/>
      <c r="AO61" s="1346"/>
      <c r="AP61" s="1492"/>
      <c r="AQ61" s="1493"/>
      <c r="AR61" s="1346"/>
      <c r="AS61" s="1492"/>
      <c r="AT61" s="1493"/>
      <c r="AU61" s="1346"/>
      <c r="AV61" s="1492"/>
      <c r="AW61" s="1493"/>
      <c r="AX61" s="1346"/>
      <c r="AY61" s="1492"/>
      <c r="AZ61" s="1493"/>
      <c r="BA61" s="1346"/>
      <c r="BB61" s="1492"/>
      <c r="BC61" s="1493"/>
      <c r="BD61" s="1346"/>
      <c r="BE61" s="1492"/>
      <c r="BF61" s="1493"/>
      <c r="BG61" s="1346"/>
      <c r="BH61" s="1492"/>
      <c r="BI61" s="1493"/>
      <c r="BJ61" s="1346"/>
      <c r="BK61" s="1492"/>
      <c r="BL61" s="1493"/>
      <c r="BM61" s="1346"/>
      <c r="BN61" s="1492"/>
      <c r="BO61" s="1493"/>
      <c r="BP61" s="1346"/>
      <c r="BQ61" s="1492"/>
      <c r="BR61" s="1493"/>
      <c r="BS61" s="1346"/>
      <c r="BT61" s="1492"/>
      <c r="BU61" s="1493"/>
      <c r="BV61" s="1346"/>
      <c r="BW61" s="1492"/>
      <c r="BX61" s="1493"/>
      <c r="BY61" s="1346"/>
      <c r="BZ61" s="1492"/>
      <c r="CA61" s="1493"/>
    </row>
    <row r="62" spans="1:81" ht="13.5" thickBot="1" x14ac:dyDescent="0.25">
      <c r="A62" s="1339"/>
      <c r="B62" s="1322" t="s">
        <v>59</v>
      </c>
      <c r="C62" s="1323">
        <v>72.900000000000006</v>
      </c>
      <c r="D62" s="1324"/>
      <c r="E62" s="1325" t="s">
        <v>58</v>
      </c>
      <c r="F62" s="1326"/>
      <c r="G62" s="1324">
        <v>60.2</v>
      </c>
      <c r="H62" s="1206"/>
      <c r="I62" s="1489" t="s">
        <v>57</v>
      </c>
      <c r="J62" s="1490">
        <v>57.4</v>
      </c>
      <c r="K62" s="1330"/>
      <c r="L62" s="1328" t="s">
        <v>341</v>
      </c>
      <c r="M62" s="1330">
        <v>10.38</v>
      </c>
      <c r="N62" s="1195"/>
      <c r="O62" s="1328" t="s">
        <v>54</v>
      </c>
      <c r="P62" s="1329">
        <v>-0.4</v>
      </c>
      <c r="Q62" s="1330"/>
      <c r="R62" s="1330" t="s">
        <v>56</v>
      </c>
      <c r="S62" s="1331">
        <v>6.9</v>
      </c>
      <c r="T62" s="1330"/>
      <c r="U62" s="1330"/>
      <c r="V62" s="1494"/>
      <c r="W62" s="1330"/>
      <c r="X62" s="1330"/>
      <c r="Y62" s="1494"/>
      <c r="Z62" s="1330"/>
      <c r="AA62" s="1330"/>
      <c r="AB62" s="1494"/>
      <c r="AC62" s="1330"/>
      <c r="AD62" s="1330"/>
      <c r="AE62" s="1494"/>
      <c r="AF62" s="1330"/>
      <c r="AG62" s="1330"/>
      <c r="AH62" s="1494"/>
      <c r="AI62" s="1330"/>
      <c r="AJ62" s="1330"/>
      <c r="AK62" s="1494"/>
      <c r="AL62" s="1330"/>
      <c r="AM62" s="1330"/>
      <c r="AN62" s="1494"/>
      <c r="AO62" s="1330"/>
      <c r="AP62" s="1330"/>
      <c r="AQ62" s="1494"/>
      <c r="AR62" s="1330"/>
      <c r="AS62" s="1330"/>
      <c r="AT62" s="1494"/>
      <c r="AU62" s="1330"/>
      <c r="AV62" s="1330"/>
      <c r="AW62" s="1494"/>
      <c r="AX62" s="1330"/>
      <c r="AY62" s="1330"/>
      <c r="AZ62" s="1494"/>
      <c r="BA62" s="1330"/>
      <c r="BB62" s="1330"/>
      <c r="BC62" s="1494"/>
      <c r="BD62" s="1330"/>
      <c r="BE62" s="1330"/>
      <c r="BF62" s="1494"/>
      <c r="BG62" s="1330"/>
      <c r="BH62" s="1330"/>
      <c r="BI62" s="1494"/>
      <c r="BJ62" s="1330"/>
      <c r="BK62" s="1330"/>
      <c r="BL62" s="1494"/>
      <c r="BM62" s="1330"/>
      <c r="BN62" s="1330"/>
      <c r="BO62" s="1494"/>
      <c r="BP62" s="1330"/>
      <c r="BQ62" s="1330"/>
      <c r="BR62" s="1494"/>
      <c r="BS62" s="1330"/>
      <c r="BT62" s="1330"/>
      <c r="BU62" s="1494"/>
      <c r="BV62" s="1330"/>
      <c r="BW62" s="1330"/>
      <c r="BX62" s="1494"/>
      <c r="BY62" s="1330"/>
      <c r="BZ62" s="1330"/>
      <c r="CA62" s="1494"/>
    </row>
    <row r="63" spans="1:81" ht="13.5" thickBot="1" x14ac:dyDescent="0.25">
      <c r="A63" s="1183"/>
      <c r="B63" s="2406" t="s">
        <v>29</v>
      </c>
      <c r="C63" s="2407"/>
      <c r="D63" s="2407"/>
      <c r="E63" s="2407"/>
      <c r="F63" s="2407"/>
      <c r="G63" s="2408"/>
      <c r="H63" s="1352">
        <f>I16</f>
        <v>5.6232000000000006</v>
      </c>
      <c r="I63" s="1353" t="s">
        <v>2</v>
      </c>
      <c r="J63" s="1355">
        <f>J16</f>
        <v>0.66659999999999997</v>
      </c>
      <c r="K63" s="1352">
        <f>L16</f>
        <v>5.2469999999999999</v>
      </c>
      <c r="L63" s="1353" t="s">
        <v>2</v>
      </c>
      <c r="M63" s="1355">
        <f>M16</f>
        <v>0.66</v>
      </c>
      <c r="N63" s="1352">
        <f>O16</f>
        <v>5.0292000000000003</v>
      </c>
      <c r="O63" s="1353" t="s">
        <v>2</v>
      </c>
      <c r="P63" s="1355">
        <f>P16</f>
        <v>0.627</v>
      </c>
      <c r="Q63" s="1352">
        <f>R16</f>
        <v>4.936799999999999</v>
      </c>
      <c r="R63" s="1353" t="s">
        <v>2</v>
      </c>
      <c r="S63" s="1355">
        <f>S16</f>
        <v>0.62039999999999995</v>
      </c>
      <c r="T63" s="1352">
        <f>U16</f>
        <v>4.9367999999999999</v>
      </c>
      <c r="U63" s="1353" t="s">
        <v>2</v>
      </c>
      <c r="V63" s="1355">
        <f>V16</f>
        <v>0.62039999999999995</v>
      </c>
      <c r="W63" s="1352">
        <f>X16</f>
        <v>5.0952000000000002</v>
      </c>
      <c r="X63" s="1353" t="s">
        <v>2</v>
      </c>
      <c r="Y63" s="1355">
        <f>Y16</f>
        <v>0.6137999999999999</v>
      </c>
      <c r="Z63" s="1352">
        <f>AA16</f>
        <v>5.8673999999999999</v>
      </c>
      <c r="AA63" s="1353" t="s">
        <v>2</v>
      </c>
      <c r="AB63" s="1355">
        <f>AB16</f>
        <v>0.64679999999999993</v>
      </c>
      <c r="AC63" s="1352">
        <f>AD16</f>
        <v>6.5801999999999996</v>
      </c>
      <c r="AD63" s="1353" t="s">
        <v>2</v>
      </c>
      <c r="AE63" s="1355">
        <f>AE16</f>
        <v>0.71939999999999993</v>
      </c>
      <c r="AF63" s="1352">
        <f>AG16</f>
        <v>6.633</v>
      </c>
      <c r="AG63" s="1353" t="s">
        <v>2</v>
      </c>
      <c r="AH63" s="1355">
        <f>AH16</f>
        <v>0.71939999999999993</v>
      </c>
      <c r="AI63" s="1352">
        <f>AJ16</f>
        <v>6.5868000000000002</v>
      </c>
      <c r="AJ63" s="1353" t="s">
        <v>2</v>
      </c>
      <c r="AK63" s="1355">
        <f>AK16</f>
        <v>0.73920000000000008</v>
      </c>
      <c r="AL63" s="1352">
        <f>AM16</f>
        <v>6.7385999999999999</v>
      </c>
      <c r="AM63" s="1353" t="s">
        <v>2</v>
      </c>
      <c r="AN63" s="1355">
        <f>AN16</f>
        <v>0.77879999999999994</v>
      </c>
      <c r="AO63" s="1352">
        <f>AP16</f>
        <v>6.7056000000000004</v>
      </c>
      <c r="AP63" s="1353" t="s">
        <v>2</v>
      </c>
      <c r="AQ63" s="1355">
        <f>AQ16</f>
        <v>0.75240000000000007</v>
      </c>
      <c r="AR63" s="1352">
        <f>AS16</f>
        <v>6.7518000000000002</v>
      </c>
      <c r="AS63" s="1353" t="s">
        <v>2</v>
      </c>
      <c r="AT63" s="1355">
        <f>AT16</f>
        <v>0.7722</v>
      </c>
      <c r="AU63" s="1352">
        <f>AV16</f>
        <v>6.6726000000000001</v>
      </c>
      <c r="AV63" s="1353" t="s">
        <v>2</v>
      </c>
      <c r="AW63" s="1355">
        <f>AW16</f>
        <v>0.77879999999999994</v>
      </c>
      <c r="AX63" s="1352">
        <f>AY16</f>
        <v>6.6528</v>
      </c>
      <c r="AY63" s="1353" t="s">
        <v>2</v>
      </c>
      <c r="AZ63" s="1355">
        <f>AZ16</f>
        <v>0.7854000000000001</v>
      </c>
      <c r="BA63" s="1352">
        <f>BB16</f>
        <v>6.9563999999999995</v>
      </c>
      <c r="BB63" s="1353" t="s">
        <v>2</v>
      </c>
      <c r="BC63" s="1355">
        <f>BC16</f>
        <v>0.80520000000000003</v>
      </c>
      <c r="BD63" s="1352">
        <f>BE16</f>
        <v>7.2336</v>
      </c>
      <c r="BE63" s="1353" t="s">
        <v>2</v>
      </c>
      <c r="BF63" s="1355">
        <f>BF16</f>
        <v>0.80520000000000003</v>
      </c>
      <c r="BG63" s="1352">
        <f>BH16</f>
        <v>7.3259999999999996</v>
      </c>
      <c r="BH63" s="1353" t="s">
        <v>2</v>
      </c>
      <c r="BI63" s="1355">
        <f>BI16</f>
        <v>0.77879999999999994</v>
      </c>
      <c r="BJ63" s="1352">
        <f>BK16</f>
        <v>7.4183999999999992</v>
      </c>
      <c r="BK63" s="1353" t="s">
        <v>2</v>
      </c>
      <c r="BL63" s="1355">
        <f>BL16</f>
        <v>0.79200000000000004</v>
      </c>
      <c r="BM63" s="1352">
        <f>BN16</f>
        <v>7.3853999999999997</v>
      </c>
      <c r="BN63" s="1353" t="s">
        <v>2</v>
      </c>
      <c r="BO63" s="1355">
        <f>BO16</f>
        <v>0.78539999999999999</v>
      </c>
      <c r="BP63" s="1352">
        <f>BQ16</f>
        <v>7.2996000000000008</v>
      </c>
      <c r="BQ63" s="1353" t="s">
        <v>2</v>
      </c>
      <c r="BR63" s="1355">
        <f>BR16</f>
        <v>0.78539999999999999</v>
      </c>
      <c r="BS63" s="1352">
        <f>BT16</f>
        <v>7.0751999999999997</v>
      </c>
      <c r="BT63" s="1353" t="s">
        <v>2</v>
      </c>
      <c r="BU63" s="1355">
        <f>BU16</f>
        <v>0.75239999999999996</v>
      </c>
      <c r="BV63" s="1352">
        <f>BW16</f>
        <v>6.6923999999999992</v>
      </c>
      <c r="BW63" s="1353" t="s">
        <v>2</v>
      </c>
      <c r="BX63" s="1355">
        <f>BX16</f>
        <v>0.72599999999999998</v>
      </c>
      <c r="BY63" s="1352">
        <f>BZ16</f>
        <v>6.1643999999999997</v>
      </c>
      <c r="BZ63" s="1353" t="s">
        <v>2</v>
      </c>
      <c r="CA63" s="1355">
        <f>CA16</f>
        <v>0.68640000000000012</v>
      </c>
    </row>
    <row r="64" spans="1:81" x14ac:dyDescent="0.2">
      <c r="A64" s="1357" t="s">
        <v>20</v>
      </c>
      <c r="B64" s="1358"/>
      <c r="C64" s="1359"/>
      <c r="D64" s="1360"/>
      <c r="E64" s="1125"/>
      <c r="F64" s="1079"/>
      <c r="G64" s="1131"/>
      <c r="H64" s="1495"/>
      <c r="I64" s="1496"/>
      <c r="J64" s="1497"/>
      <c r="K64" s="1495"/>
      <c r="L64" s="1496"/>
      <c r="M64" s="1497"/>
      <c r="N64" s="1495"/>
      <c r="O64" s="1496"/>
      <c r="P64" s="1497"/>
      <c r="Q64" s="1495"/>
      <c r="R64" s="1496"/>
      <c r="S64" s="1497"/>
      <c r="T64" s="1495"/>
      <c r="U64" s="1496"/>
      <c r="V64" s="1497"/>
      <c r="W64" s="1495"/>
      <c r="X64" s="1496"/>
      <c r="Y64" s="1497"/>
      <c r="Z64" s="1495"/>
      <c r="AA64" s="1496"/>
      <c r="AB64" s="1497"/>
      <c r="AC64" s="1495"/>
      <c r="AD64" s="1496"/>
      <c r="AE64" s="1497"/>
      <c r="AF64" s="1495"/>
      <c r="AG64" s="1496"/>
      <c r="AH64" s="1497"/>
      <c r="AI64" s="1495"/>
      <c r="AJ64" s="1496"/>
      <c r="AK64" s="1497"/>
      <c r="AL64" s="1495"/>
      <c r="AM64" s="1496"/>
      <c r="AN64" s="1497"/>
      <c r="AO64" s="1495"/>
      <c r="AP64" s="1496"/>
      <c r="AQ64" s="1497"/>
      <c r="AR64" s="1495"/>
      <c r="AS64" s="1496"/>
      <c r="AT64" s="1497"/>
      <c r="AU64" s="1495"/>
      <c r="AV64" s="1496"/>
      <c r="AW64" s="1497"/>
      <c r="AX64" s="1495"/>
      <c r="AY64" s="1496"/>
      <c r="AZ64" s="1497"/>
      <c r="BA64" s="1495"/>
      <c r="BB64" s="1496"/>
      <c r="BC64" s="1497"/>
      <c r="BD64" s="1495"/>
      <c r="BE64" s="1496"/>
      <c r="BF64" s="1497"/>
      <c r="BG64" s="1495"/>
      <c r="BH64" s="1496"/>
      <c r="BI64" s="1497"/>
      <c r="BJ64" s="1495"/>
      <c r="BK64" s="1496"/>
      <c r="BL64" s="1497"/>
      <c r="BM64" s="1495"/>
      <c r="BN64" s="1496"/>
      <c r="BO64" s="1497"/>
      <c r="BP64" s="1495"/>
      <c r="BQ64" s="1496"/>
      <c r="BR64" s="1497"/>
      <c r="BS64" s="1495"/>
      <c r="BT64" s="1496"/>
      <c r="BU64" s="1497"/>
      <c r="BV64" s="1495"/>
      <c r="BW64" s="1496"/>
      <c r="BX64" s="1497"/>
      <c r="BY64" s="1495"/>
      <c r="BZ64" s="1496"/>
      <c r="CA64" s="1497"/>
    </row>
    <row r="65" spans="1:256" ht="15.75" thickBot="1" x14ac:dyDescent="0.3">
      <c r="A65" s="1362" t="s">
        <v>21</v>
      </c>
      <c r="B65" s="1215"/>
      <c r="C65" s="1363"/>
      <c r="D65" s="1215"/>
      <c r="E65" s="1196"/>
      <c r="F65" s="1215" t="s">
        <v>25</v>
      </c>
      <c r="G65" s="1207"/>
      <c r="H65" s="1498">
        <f>SUM(H58,H63)</f>
        <v>12.124200000000002</v>
      </c>
      <c r="I65" s="1499" t="s">
        <v>2</v>
      </c>
      <c r="J65" s="1500">
        <f>SUM(J58,J63)</f>
        <v>1.2869999999999999</v>
      </c>
      <c r="K65" s="1498">
        <f>SUM(K58,K63)</f>
        <v>5.2469999999999999</v>
      </c>
      <c r="L65" s="1499" t="s">
        <v>2</v>
      </c>
      <c r="M65" s="1500">
        <f>SUM(M58,M63)</f>
        <v>1.2606000000000002</v>
      </c>
      <c r="N65" s="1498">
        <f>SUM(N58,N63)</f>
        <v>11.0022</v>
      </c>
      <c r="O65" s="1499" t="s">
        <v>2</v>
      </c>
      <c r="P65" s="1500">
        <f>SUM(P58,P63)</f>
        <v>1.2275999999999998</v>
      </c>
      <c r="Q65" s="1498">
        <f>SUM(Q58,Q63)</f>
        <v>10.764599999999998</v>
      </c>
      <c r="R65" s="1499" t="s">
        <v>2</v>
      </c>
      <c r="S65" s="1500">
        <f>SUM(S58,S63)</f>
        <v>1.1945999999999999</v>
      </c>
      <c r="T65" s="1498">
        <f>SUM(T58,T63)</f>
        <v>10.777799999999999</v>
      </c>
      <c r="U65" s="1499" t="s">
        <v>2</v>
      </c>
      <c r="V65" s="1500">
        <f>SUM(V58,V63)</f>
        <v>1.2012</v>
      </c>
      <c r="W65" s="1498">
        <f>SUM(W58,W63)</f>
        <v>11.187000000000001</v>
      </c>
      <c r="X65" s="1499" t="s">
        <v>2</v>
      </c>
      <c r="Y65" s="1500">
        <f>SUM(Y58,Y63)</f>
        <v>1.2011999999999998</v>
      </c>
      <c r="Z65" s="1498">
        <f>SUM(Z58,Z63)</f>
        <v>12.7644</v>
      </c>
      <c r="AA65" s="1499" t="s">
        <v>2</v>
      </c>
      <c r="AB65" s="1500">
        <f>SUM(AB58,AB63)</f>
        <v>1.2935999999999999</v>
      </c>
      <c r="AC65" s="1498">
        <f>SUM(AC58,AC63)</f>
        <v>14.387999999999998</v>
      </c>
      <c r="AD65" s="1499" t="s">
        <v>2</v>
      </c>
      <c r="AE65" s="1500">
        <f>SUM(AE58,AE63)</f>
        <v>1.4651999999999998</v>
      </c>
      <c r="AF65" s="1498">
        <f>SUM(AF58,AF63)</f>
        <v>14.7378</v>
      </c>
      <c r="AG65" s="1499" t="s">
        <v>2</v>
      </c>
      <c r="AH65" s="1500">
        <f>SUM(AH58,AH63)</f>
        <v>1.4916</v>
      </c>
      <c r="AI65" s="1498">
        <f>SUM(AI58,AI63)</f>
        <v>14.592600000000001</v>
      </c>
      <c r="AJ65" s="1499" t="s">
        <v>2</v>
      </c>
      <c r="AK65" s="1500">
        <f>SUM(AK58,AK63)</f>
        <v>1.5312000000000001</v>
      </c>
      <c r="AL65" s="1498">
        <f>SUM(AL58,AL63)</f>
        <v>14.783999999999999</v>
      </c>
      <c r="AM65" s="1499" t="s">
        <v>2</v>
      </c>
      <c r="AN65" s="1500">
        <f>SUM(AN58,AN63)</f>
        <v>1.5575999999999999</v>
      </c>
      <c r="AO65" s="1498">
        <f>SUM(AO58,AO63)</f>
        <v>14.7972</v>
      </c>
      <c r="AP65" s="1499" t="s">
        <v>2</v>
      </c>
      <c r="AQ65" s="1500">
        <f>SUM(AQ58,AQ63)</f>
        <v>1.5906000000000002</v>
      </c>
      <c r="AR65" s="1498">
        <f>SUM(AR58,AR63)</f>
        <v>14.942399999999999</v>
      </c>
      <c r="AS65" s="1499" t="s">
        <v>2</v>
      </c>
      <c r="AT65" s="1500">
        <f>SUM(AT58,AT63)</f>
        <v>1.5906</v>
      </c>
      <c r="AU65" s="1498">
        <f>SUM(AU58,AU63)</f>
        <v>14.783999999999999</v>
      </c>
      <c r="AV65" s="1499" t="s">
        <v>2</v>
      </c>
      <c r="AW65" s="1500">
        <f>SUM(AW58,AW63)</f>
        <v>1.5905999999999998</v>
      </c>
      <c r="AX65" s="1498">
        <f>SUM(AX58,AX63)</f>
        <v>14.665199999999999</v>
      </c>
      <c r="AY65" s="1499" t="s">
        <v>2</v>
      </c>
      <c r="AZ65" s="1500">
        <f>SUM(AZ58,AZ63)</f>
        <v>1.5840000000000001</v>
      </c>
      <c r="BA65" s="1498">
        <f>SUM(BA58,BA63)</f>
        <v>15.2988</v>
      </c>
      <c r="BB65" s="1499" t="s">
        <v>2</v>
      </c>
      <c r="BC65" s="1500">
        <f>SUM(BC58,BC63)</f>
        <v>1.6434000000000002</v>
      </c>
      <c r="BD65" s="1498">
        <f>SUM(BD58,BD63)</f>
        <v>15.793800000000001</v>
      </c>
      <c r="BE65" s="1499" t="s">
        <v>2</v>
      </c>
      <c r="BF65" s="1500">
        <f>SUM(BF58,BF63)</f>
        <v>1.6301999999999999</v>
      </c>
      <c r="BG65" s="1498">
        <f>SUM(BG58,BG63)</f>
        <v>15.9192</v>
      </c>
      <c r="BH65" s="1499" t="s">
        <v>2</v>
      </c>
      <c r="BI65" s="1500">
        <f>SUM(BI58,BI63)</f>
        <v>1.5972</v>
      </c>
      <c r="BJ65" s="1498">
        <f>SUM(BJ58,BJ63)</f>
        <v>16.196400000000001</v>
      </c>
      <c r="BK65" s="1499" t="s">
        <v>2</v>
      </c>
      <c r="BL65" s="1500">
        <f>SUM(BL58,BL63)</f>
        <v>1.6632000000000002</v>
      </c>
      <c r="BM65" s="1498">
        <f>SUM(BM58,BM63)</f>
        <v>16.242599999999999</v>
      </c>
      <c r="BN65" s="1499" t="s">
        <v>2</v>
      </c>
      <c r="BO65" s="1500">
        <f>SUM(BO58,BO63)</f>
        <v>1.6896</v>
      </c>
      <c r="BP65" s="1498">
        <f>SUM(BP58,BP63)</f>
        <v>15.991800000000001</v>
      </c>
      <c r="BQ65" s="1499" t="s">
        <v>2</v>
      </c>
      <c r="BR65" s="1500">
        <f>SUM(BR58,BR63)</f>
        <v>1.6961999999999999</v>
      </c>
      <c r="BS65" s="1498">
        <f>SUM(BS58,BS63)</f>
        <v>15.443999999999999</v>
      </c>
      <c r="BT65" s="1499" t="s">
        <v>2</v>
      </c>
      <c r="BU65" s="1500">
        <f>SUM(BU58,BU63)</f>
        <v>1.6301999999999999</v>
      </c>
      <c r="BV65" s="1498">
        <f>SUM(BV58,BV63)</f>
        <v>14.513399999999999</v>
      </c>
      <c r="BW65" s="1499" t="s">
        <v>2</v>
      </c>
      <c r="BX65" s="1500">
        <f>SUM(BX58,BX63)</f>
        <v>1.4982</v>
      </c>
      <c r="BY65" s="1498">
        <f>SUM(BY58,BY63)</f>
        <v>13.325399999999998</v>
      </c>
      <c r="BZ65" s="1499" t="s">
        <v>2</v>
      </c>
      <c r="CA65" s="1500">
        <f>SUM(CA58,CA63)</f>
        <v>1.3992</v>
      </c>
    </row>
    <row r="66" spans="1:256" x14ac:dyDescent="0.2">
      <c r="A66" s="1369"/>
      <c r="B66" s="1369"/>
      <c r="C66" s="1369"/>
      <c r="D66" s="1369"/>
      <c r="E66" s="1369" t="s">
        <v>107</v>
      </c>
      <c r="F66" s="1369"/>
      <c r="G66" s="1369"/>
      <c r="H66" s="1369"/>
      <c r="I66" s="1434">
        <f>J65/H65</f>
        <v>0.10615133369624385</v>
      </c>
      <c r="J66" s="1369"/>
      <c r="K66" s="1369"/>
      <c r="L66" s="1434">
        <f>M65/K65</f>
        <v>0.24025157232704406</v>
      </c>
      <c r="M66" s="1369"/>
      <c r="N66" s="1369"/>
      <c r="O66" s="1434">
        <f>P65/N65</f>
        <v>0.11157768446310735</v>
      </c>
      <c r="P66" s="1369"/>
      <c r="Q66" s="1369"/>
      <c r="R66" s="1434">
        <f>S65/Q65</f>
        <v>0.11097486204782343</v>
      </c>
      <c r="S66" s="1369"/>
      <c r="T66" s="1369"/>
      <c r="U66" s="1434">
        <f>V65/T65</f>
        <v>0.11145131659522353</v>
      </c>
      <c r="V66" s="1369"/>
      <c r="W66" s="1369"/>
      <c r="X66" s="1434">
        <f>Y65/W65</f>
        <v>0.10737463126843655</v>
      </c>
      <c r="Y66" s="1369"/>
      <c r="Z66" s="1369"/>
      <c r="AA66" s="1434">
        <f>AB65/Z65</f>
        <v>0.1013443640124095</v>
      </c>
      <c r="AB66" s="1369"/>
      <c r="AC66" s="1369"/>
      <c r="AD66" s="1434">
        <f>AE65/AC65</f>
        <v>0.10183486238532111</v>
      </c>
      <c r="AE66" s="1369"/>
      <c r="AF66" s="1369"/>
      <c r="AG66" s="1434">
        <f>AH65/AF65</f>
        <v>0.10120913569189431</v>
      </c>
      <c r="AH66" s="1369"/>
      <c r="AI66" s="1369"/>
      <c r="AJ66" s="1434">
        <f>AK65/AI65</f>
        <v>0.1049298959746721</v>
      </c>
      <c r="AK66" s="1369"/>
      <c r="AL66" s="1369"/>
      <c r="AM66" s="1434">
        <f>AN65/AL65</f>
        <v>0.10535714285714286</v>
      </c>
      <c r="AN66" s="1369"/>
      <c r="AO66" s="1369"/>
      <c r="AP66" s="1434">
        <f>AQ65/AO65</f>
        <v>0.10749330954504908</v>
      </c>
      <c r="AQ66" s="1369"/>
      <c r="AR66" s="1369"/>
      <c r="AS66" s="1434">
        <f>AT65/AR65</f>
        <v>0.1064487632508834</v>
      </c>
      <c r="AT66" s="1369"/>
      <c r="AU66" s="1369"/>
      <c r="AV66" s="1434">
        <f>AW65/AU65</f>
        <v>0.10758928571428571</v>
      </c>
      <c r="AW66" s="1369"/>
      <c r="AX66" s="1369"/>
      <c r="AY66" s="1434">
        <f>AZ65/AX65</f>
        <v>0.10801080108010802</v>
      </c>
      <c r="AZ66" s="1369"/>
      <c r="BA66" s="1369"/>
      <c r="BB66" s="1434">
        <f>BC65/BA65</f>
        <v>0.10742018981880933</v>
      </c>
      <c r="BC66" s="1369"/>
      <c r="BD66" s="1369"/>
      <c r="BE66" s="1434">
        <f>BF65/BD65</f>
        <v>0.1032177183451734</v>
      </c>
      <c r="BF66" s="1369"/>
      <c r="BG66" s="1369"/>
      <c r="BH66" s="1434">
        <f>BI65/BG65</f>
        <v>0.10033167495854063</v>
      </c>
      <c r="BI66" s="1369"/>
      <c r="BJ66" s="1369"/>
      <c r="BK66" s="1434">
        <f>BL65/BJ65</f>
        <v>0.10268948655256725</v>
      </c>
      <c r="BL66" s="1369"/>
      <c r="BM66" s="1369"/>
      <c r="BN66" s="1434">
        <f>BO65/BM65</f>
        <v>0.10402275497765136</v>
      </c>
      <c r="BO66" s="1369"/>
      <c r="BP66" s="1369"/>
      <c r="BQ66" s="1434">
        <f>BR65/BP65</f>
        <v>0.10606685926537349</v>
      </c>
      <c r="BR66" s="1369"/>
      <c r="BS66" s="1369"/>
      <c r="BT66" s="1434">
        <f>BU65/BS65</f>
        <v>0.10555555555555556</v>
      </c>
      <c r="BU66" s="1369"/>
      <c r="BV66" s="1369"/>
      <c r="BW66" s="1434">
        <f>BX65/BV65</f>
        <v>0.10322874033651661</v>
      </c>
      <c r="BX66" s="1369"/>
      <c r="BY66" s="1369"/>
      <c r="BZ66" s="1434">
        <f>CA65/BY65</f>
        <v>0.10500247647350175</v>
      </c>
      <c r="CA66" s="1369"/>
      <c r="CB66" s="1369"/>
      <c r="CC66" s="1435"/>
      <c r="CD66" s="1369"/>
      <c r="CE66" s="1369"/>
      <c r="CF66" s="1369"/>
      <c r="CG66" s="1369"/>
      <c r="CH66" s="1369"/>
      <c r="CI66" s="1369"/>
      <c r="CJ66" s="1369"/>
      <c r="CK66" s="1369"/>
      <c r="CL66" s="1369"/>
      <c r="CM66" s="1369"/>
      <c r="CN66" s="1369"/>
      <c r="CO66" s="1369"/>
      <c r="CP66" s="1369"/>
      <c r="CQ66" s="1369"/>
      <c r="CR66" s="1369"/>
      <c r="CS66" s="1369"/>
      <c r="CT66" s="1369"/>
      <c r="CU66" s="1369"/>
      <c r="CV66" s="1369"/>
      <c r="CW66" s="1369"/>
      <c r="CX66" s="1369"/>
      <c r="CY66" s="1369"/>
      <c r="CZ66" s="1369"/>
      <c r="DA66" s="1369"/>
      <c r="DB66" s="1369"/>
      <c r="DC66" s="1369"/>
      <c r="DD66" s="1369"/>
      <c r="DE66" s="1369"/>
      <c r="DF66" s="1369"/>
      <c r="DG66" s="1369"/>
      <c r="DH66" s="1369"/>
      <c r="DI66" s="1369"/>
      <c r="DJ66" s="1369"/>
      <c r="DK66" s="1369"/>
      <c r="DL66" s="1369"/>
      <c r="DM66" s="1369"/>
      <c r="DN66" s="1369"/>
      <c r="DO66" s="1369"/>
      <c r="DP66" s="1369"/>
      <c r="DQ66" s="1369"/>
      <c r="DR66" s="1369"/>
      <c r="DS66" s="1369"/>
      <c r="DT66" s="1369"/>
      <c r="DU66" s="1369"/>
      <c r="DV66" s="1369"/>
      <c r="DW66" s="1369"/>
      <c r="DX66" s="1369"/>
      <c r="DY66" s="1369"/>
      <c r="DZ66" s="1369"/>
      <c r="EA66" s="1369"/>
      <c r="EB66" s="1369"/>
      <c r="EC66" s="1369"/>
      <c r="ED66" s="1369"/>
      <c r="EE66" s="1369"/>
      <c r="EF66" s="1369"/>
      <c r="EG66" s="1369"/>
      <c r="EH66" s="1369"/>
      <c r="EI66" s="1369"/>
      <c r="EJ66" s="1369"/>
      <c r="EK66" s="1369"/>
      <c r="EL66" s="1369"/>
      <c r="EM66" s="1369"/>
      <c r="EN66" s="1369"/>
      <c r="EO66" s="1369"/>
      <c r="EP66" s="1369"/>
      <c r="EQ66" s="1369"/>
      <c r="ER66" s="1369"/>
      <c r="ES66" s="1369"/>
      <c r="ET66" s="1369"/>
      <c r="EU66" s="1369"/>
      <c r="EV66" s="1369"/>
      <c r="EW66" s="1369"/>
      <c r="EX66" s="1369"/>
      <c r="EY66" s="1369"/>
      <c r="EZ66" s="1369"/>
      <c r="FA66" s="1369"/>
      <c r="FB66" s="1369"/>
      <c r="FC66" s="1369"/>
      <c r="FD66" s="1369"/>
      <c r="FE66" s="1369"/>
      <c r="FF66" s="1369"/>
      <c r="FG66" s="1369"/>
      <c r="FH66" s="1369"/>
      <c r="FI66" s="1369"/>
      <c r="FJ66" s="1369"/>
      <c r="FK66" s="1369"/>
      <c r="FL66" s="1369"/>
      <c r="FM66" s="1369"/>
      <c r="FN66" s="1369"/>
      <c r="FO66" s="1369"/>
      <c r="FP66" s="1369"/>
      <c r="FQ66" s="1369"/>
      <c r="FR66" s="1369"/>
      <c r="FS66" s="1369"/>
      <c r="FT66" s="1369"/>
      <c r="FU66" s="1369"/>
      <c r="FV66" s="1369"/>
      <c r="FW66" s="1369"/>
      <c r="FX66" s="1369"/>
      <c r="FY66" s="1369"/>
      <c r="FZ66" s="1369"/>
      <c r="GA66" s="1369"/>
      <c r="GB66" s="1369"/>
      <c r="GC66" s="1369"/>
      <c r="GD66" s="1369"/>
      <c r="GE66" s="1369"/>
      <c r="GF66" s="1369"/>
      <c r="GG66" s="1369"/>
      <c r="GH66" s="1369"/>
      <c r="GI66" s="1369"/>
      <c r="GJ66" s="1369"/>
      <c r="GK66" s="1369"/>
      <c r="GL66" s="1369"/>
      <c r="GM66" s="1369"/>
      <c r="GN66" s="1369"/>
      <c r="GO66" s="1369"/>
      <c r="GP66" s="1369"/>
      <c r="GQ66" s="1369"/>
      <c r="GR66" s="1369"/>
      <c r="GS66" s="1369"/>
      <c r="GT66" s="1369"/>
      <c r="GU66" s="1369"/>
      <c r="GV66" s="1369"/>
      <c r="GW66" s="1369"/>
      <c r="GX66" s="1369"/>
      <c r="GY66" s="1369"/>
      <c r="GZ66" s="1369"/>
      <c r="HA66" s="1369"/>
      <c r="HB66" s="1369"/>
      <c r="HC66" s="1369"/>
      <c r="HD66" s="1369"/>
      <c r="HE66" s="1369"/>
      <c r="HF66" s="1369"/>
      <c r="HG66" s="1369"/>
      <c r="HH66" s="1369"/>
      <c r="HI66" s="1369"/>
      <c r="HJ66" s="1369"/>
      <c r="HK66" s="1369"/>
      <c r="HL66" s="1369"/>
      <c r="HM66" s="1369"/>
      <c r="HN66" s="1369"/>
      <c r="HO66" s="1369"/>
      <c r="HP66" s="1369"/>
      <c r="HQ66" s="1369"/>
      <c r="HR66" s="1369"/>
      <c r="HS66" s="1369"/>
      <c r="HT66" s="1369"/>
      <c r="HU66" s="1369"/>
      <c r="HV66" s="1369"/>
      <c r="HW66" s="1369"/>
      <c r="HX66" s="1369"/>
      <c r="HY66" s="1369"/>
      <c r="HZ66" s="1369"/>
      <c r="IA66" s="1369"/>
      <c r="IB66" s="1369"/>
      <c r="IC66" s="1369"/>
      <c r="ID66" s="1369"/>
      <c r="IE66" s="1369"/>
      <c r="IF66" s="1369"/>
      <c r="IG66" s="1369"/>
      <c r="IH66" s="1369"/>
      <c r="II66" s="1369"/>
      <c r="IJ66" s="1369"/>
      <c r="IK66" s="1369"/>
      <c r="IL66" s="1369"/>
      <c r="IM66" s="1369"/>
      <c r="IN66" s="1369"/>
      <c r="IO66" s="1369"/>
      <c r="IP66" s="1369"/>
      <c r="IQ66" s="1369"/>
      <c r="IR66" s="1369"/>
      <c r="IS66" s="1369"/>
      <c r="IT66" s="1369"/>
      <c r="IU66" s="1369"/>
      <c r="IV66" s="1369"/>
    </row>
    <row r="67" spans="1:256" ht="15" x14ac:dyDescent="0.25">
      <c r="B67" s="2418" t="s">
        <v>323</v>
      </c>
      <c r="C67" s="2418"/>
      <c r="D67" s="2418"/>
      <c r="E67" s="2418"/>
      <c r="F67" s="2418"/>
      <c r="T67" s="1372"/>
      <c r="U67" s="1373"/>
    </row>
    <row r="68" spans="1:256" x14ac:dyDescent="0.2">
      <c r="T68" s="1372"/>
      <c r="U68" s="1373"/>
    </row>
    <row r="69" spans="1:256" x14ac:dyDescent="0.2">
      <c r="T69" s="1372"/>
      <c r="U69" s="1373"/>
    </row>
    <row r="70" spans="1:256" x14ac:dyDescent="0.2">
      <c r="T70" s="1372"/>
      <c r="U70" s="1373"/>
    </row>
    <row r="71" spans="1:256" x14ac:dyDescent="0.2">
      <c r="T71" s="1372"/>
      <c r="U71" s="1373"/>
    </row>
    <row r="72" spans="1:256" x14ac:dyDescent="0.2">
      <c r="T72" s="1372"/>
      <c r="U72" s="1373"/>
    </row>
    <row r="73" spans="1:256" x14ac:dyDescent="0.2">
      <c r="T73" s="1372"/>
      <c r="U73" s="1373"/>
    </row>
    <row r="74" spans="1:256" x14ac:dyDescent="0.2">
      <c r="T74" s="1372"/>
      <c r="U74" s="1373"/>
    </row>
    <row r="75" spans="1:256" x14ac:dyDescent="0.2">
      <c r="T75" s="1372"/>
      <c r="U75" s="1373"/>
    </row>
    <row r="76" spans="1:256" x14ac:dyDescent="0.2">
      <c r="T76" s="1372"/>
      <c r="U76" s="1373"/>
    </row>
    <row r="77" spans="1:256" x14ac:dyDescent="0.2">
      <c r="T77" s="1372"/>
      <c r="U77" s="1373"/>
    </row>
    <row r="78" spans="1:256" x14ac:dyDescent="0.2">
      <c r="T78" s="1372"/>
      <c r="U78" s="1373"/>
    </row>
    <row r="79" spans="1:256" x14ac:dyDescent="0.2">
      <c r="T79" s="1372"/>
      <c r="U79" s="1373"/>
    </row>
    <row r="80" spans="1:256" x14ac:dyDescent="0.2">
      <c r="T80" s="1372"/>
      <c r="U80" s="1373"/>
    </row>
    <row r="81" spans="20:21" x14ac:dyDescent="0.2">
      <c r="T81" s="1372"/>
      <c r="U81" s="1373"/>
    </row>
    <row r="82" spans="20:21" x14ac:dyDescent="0.2">
      <c r="T82" s="1372"/>
      <c r="U82" s="1373"/>
    </row>
    <row r="83" spans="20:21" x14ac:dyDescent="0.2">
      <c r="T83" s="1372"/>
      <c r="U83" s="1373"/>
    </row>
    <row r="84" spans="20:21" x14ac:dyDescent="0.2">
      <c r="T84" s="1372"/>
      <c r="U84" s="1373"/>
    </row>
    <row r="85" spans="20:21" x14ac:dyDescent="0.2">
      <c r="T85" s="1372"/>
      <c r="U85" s="1373"/>
    </row>
    <row r="86" spans="20:21" x14ac:dyDescent="0.2">
      <c r="T86" s="1372"/>
      <c r="U86" s="1373"/>
    </row>
    <row r="87" spans="20:21" x14ac:dyDescent="0.2">
      <c r="T87" s="1372"/>
      <c r="U87" s="1373"/>
    </row>
    <row r="88" spans="20:21" x14ac:dyDescent="0.2">
      <c r="T88" s="1372"/>
      <c r="U88" s="1373"/>
    </row>
    <row r="89" spans="20:21" x14ac:dyDescent="0.2">
      <c r="T89" s="1372"/>
      <c r="U89" s="1373"/>
    </row>
    <row r="90" spans="20:21" x14ac:dyDescent="0.2">
      <c r="T90" s="1372"/>
      <c r="U90" s="1373"/>
    </row>
    <row r="91" spans="20:21" x14ac:dyDescent="0.2">
      <c r="T91" s="1372"/>
      <c r="U91" s="1373"/>
    </row>
    <row r="92" spans="20:21" x14ac:dyDescent="0.2">
      <c r="T92" s="1372"/>
      <c r="U92" s="1373"/>
    </row>
    <row r="93" spans="20:21" x14ac:dyDescent="0.2">
      <c r="T93" s="1372"/>
      <c r="U93" s="1373"/>
    </row>
    <row r="94" spans="20:21" x14ac:dyDescent="0.2">
      <c r="T94" s="1372"/>
      <c r="U94" s="1373"/>
    </row>
    <row r="95" spans="20:21" x14ac:dyDescent="0.2">
      <c r="T95" s="1372"/>
      <c r="U95" s="1373"/>
    </row>
    <row r="96" spans="20:21" x14ac:dyDescent="0.2">
      <c r="T96" s="1372"/>
      <c r="U96" s="1373"/>
    </row>
    <row r="97" spans="20:21" x14ac:dyDescent="0.2">
      <c r="T97" s="1372"/>
      <c r="U97" s="1373"/>
    </row>
    <row r="98" spans="20:21" x14ac:dyDescent="0.2">
      <c r="T98" s="1372"/>
      <c r="U98" s="1373"/>
    </row>
    <row r="99" spans="20:21" x14ac:dyDescent="0.2">
      <c r="T99" s="1372"/>
      <c r="U99" s="1373"/>
    </row>
    <row r="100" spans="20:21" x14ac:dyDescent="0.2">
      <c r="T100" s="1372"/>
      <c r="U100" s="1373"/>
    </row>
    <row r="101" spans="20:21" x14ac:dyDescent="0.2">
      <c r="T101" s="1372"/>
      <c r="U101" s="1373"/>
    </row>
    <row r="102" spans="20:21" x14ac:dyDescent="0.2">
      <c r="T102" s="1372"/>
      <c r="U102" s="1373"/>
    </row>
    <row r="103" spans="20:21" x14ac:dyDescent="0.2">
      <c r="T103" s="1372"/>
      <c r="U103" s="1373"/>
    </row>
    <row r="104" spans="20:21" x14ac:dyDescent="0.2">
      <c r="T104" s="1372"/>
      <c r="U104" s="1373"/>
    </row>
    <row r="105" spans="20:21" x14ac:dyDescent="0.2">
      <c r="T105" s="1372"/>
      <c r="U105" s="1373"/>
    </row>
    <row r="106" spans="20:21" x14ac:dyDescent="0.2">
      <c r="T106" s="1372"/>
      <c r="U106" s="1373"/>
    </row>
    <row r="107" spans="20:21" x14ac:dyDescent="0.2">
      <c r="T107" s="1372"/>
      <c r="U107" s="1373"/>
    </row>
    <row r="108" spans="20:21" x14ac:dyDescent="0.2">
      <c r="T108" s="1372"/>
      <c r="U108" s="1373"/>
    </row>
    <row r="109" spans="20:21" x14ac:dyDescent="0.2">
      <c r="T109" s="1372"/>
      <c r="U109" s="1373"/>
    </row>
    <row r="110" spans="20:21" x14ac:dyDescent="0.2">
      <c r="T110" s="1372"/>
      <c r="U110" s="1373"/>
    </row>
    <row r="111" spans="20:21" x14ac:dyDescent="0.2">
      <c r="T111" s="1372"/>
      <c r="U111" s="1373"/>
    </row>
    <row r="112" spans="20:21" x14ac:dyDescent="0.2">
      <c r="T112" s="1372"/>
      <c r="U112" s="1373"/>
    </row>
    <row r="113" spans="20:21" x14ac:dyDescent="0.2">
      <c r="T113" s="1372"/>
      <c r="U113" s="1373"/>
    </row>
    <row r="114" spans="20:21" x14ac:dyDescent="0.2">
      <c r="T114" s="1372"/>
      <c r="U114" s="1373"/>
    </row>
    <row r="115" spans="20:21" x14ac:dyDescent="0.2">
      <c r="T115" s="1372"/>
      <c r="U115" s="1373"/>
    </row>
    <row r="116" spans="20:21" x14ac:dyDescent="0.2">
      <c r="T116" s="1372"/>
      <c r="U116" s="1373"/>
    </row>
    <row r="117" spans="20:21" x14ac:dyDescent="0.2">
      <c r="T117" s="1372"/>
      <c r="U117" s="1373"/>
    </row>
    <row r="118" spans="20:21" x14ac:dyDescent="0.2">
      <c r="T118" s="1372"/>
      <c r="U118" s="1373"/>
    </row>
    <row r="119" spans="20:21" x14ac:dyDescent="0.2">
      <c r="T119" s="1372"/>
      <c r="U119" s="1373"/>
    </row>
    <row r="120" spans="20:21" x14ac:dyDescent="0.2">
      <c r="T120" s="1372"/>
      <c r="U120" s="1373"/>
    </row>
    <row r="121" spans="20:21" x14ac:dyDescent="0.2">
      <c r="T121" s="1372"/>
      <c r="U121" s="1373"/>
    </row>
    <row r="122" spans="20:21" x14ac:dyDescent="0.2">
      <c r="T122" s="1372"/>
      <c r="U122" s="1373"/>
    </row>
    <row r="123" spans="20:21" x14ac:dyDescent="0.2">
      <c r="T123" s="1372"/>
      <c r="U123" s="1373"/>
    </row>
    <row r="124" spans="20:21" x14ac:dyDescent="0.2">
      <c r="T124" s="1372"/>
      <c r="U124" s="1373"/>
    </row>
    <row r="125" spans="20:21" x14ac:dyDescent="0.2">
      <c r="T125" s="1372"/>
      <c r="U125" s="1373"/>
    </row>
    <row r="126" spans="20:21" x14ac:dyDescent="0.2">
      <c r="T126" s="1372"/>
      <c r="U126" s="1373"/>
    </row>
    <row r="127" spans="20:21" x14ac:dyDescent="0.2">
      <c r="T127" s="1372"/>
      <c r="U127" s="1373"/>
    </row>
    <row r="128" spans="20:21" x14ac:dyDescent="0.2">
      <c r="T128" s="1372"/>
      <c r="U128" s="1373"/>
    </row>
    <row r="129" spans="20:21" x14ac:dyDescent="0.2">
      <c r="T129" s="1372"/>
      <c r="U129" s="1373"/>
    </row>
    <row r="130" spans="20:21" x14ac:dyDescent="0.2">
      <c r="T130" s="1372"/>
      <c r="U130" s="1373"/>
    </row>
    <row r="131" spans="20:21" x14ac:dyDescent="0.2">
      <c r="T131" s="1372"/>
      <c r="U131" s="1373"/>
    </row>
    <row r="132" spans="20:21" x14ac:dyDescent="0.2">
      <c r="T132" s="1372"/>
      <c r="U132" s="1373"/>
    </row>
    <row r="133" spans="20:21" x14ac:dyDescent="0.2">
      <c r="T133" s="1372"/>
      <c r="U133" s="1373"/>
    </row>
    <row r="134" spans="20:21" x14ac:dyDescent="0.2">
      <c r="T134" s="1372"/>
      <c r="U134" s="1373"/>
    </row>
    <row r="135" spans="20:21" x14ac:dyDescent="0.2">
      <c r="T135" s="1372"/>
      <c r="U135" s="1373"/>
    </row>
    <row r="136" spans="20:21" x14ac:dyDescent="0.2">
      <c r="T136" s="1372"/>
      <c r="U136" s="1373"/>
    </row>
    <row r="137" spans="20:21" x14ac:dyDescent="0.2">
      <c r="T137" s="1372"/>
      <c r="U137" s="1373"/>
    </row>
    <row r="138" spans="20:21" x14ac:dyDescent="0.2">
      <c r="T138" s="1372"/>
      <c r="U138" s="1373"/>
    </row>
    <row r="139" spans="20:21" x14ac:dyDescent="0.2">
      <c r="T139" s="1372"/>
      <c r="U139" s="1373"/>
    </row>
    <row r="140" spans="20:21" x14ac:dyDescent="0.2">
      <c r="T140" s="1372"/>
      <c r="U140" s="1373"/>
    </row>
    <row r="141" spans="20:21" x14ac:dyDescent="0.2">
      <c r="T141" s="1372"/>
      <c r="U141" s="1373"/>
    </row>
    <row r="142" spans="20:21" x14ac:dyDescent="0.2">
      <c r="T142" s="1372"/>
      <c r="U142" s="1373"/>
    </row>
    <row r="143" spans="20:21" x14ac:dyDescent="0.2">
      <c r="T143" s="1372"/>
      <c r="U143" s="1373"/>
    </row>
    <row r="144" spans="20:21" x14ac:dyDescent="0.2">
      <c r="T144" s="1372"/>
      <c r="U144" s="1373"/>
    </row>
    <row r="145" spans="20:21" x14ac:dyDescent="0.2">
      <c r="T145" s="1372"/>
      <c r="U145" s="1373"/>
    </row>
    <row r="146" spans="20:21" x14ac:dyDescent="0.2">
      <c r="T146" s="1372"/>
      <c r="U146" s="1373"/>
    </row>
    <row r="147" spans="20:21" x14ac:dyDescent="0.2">
      <c r="T147" s="1372"/>
      <c r="U147" s="1373"/>
    </row>
    <row r="148" spans="20:21" x14ac:dyDescent="0.2">
      <c r="T148" s="1372"/>
      <c r="U148" s="1373"/>
    </row>
    <row r="149" spans="20:21" x14ac:dyDescent="0.2">
      <c r="T149" s="1372"/>
      <c r="U149" s="1373"/>
    </row>
    <row r="150" spans="20:21" x14ac:dyDescent="0.2">
      <c r="T150" s="1372"/>
      <c r="U150" s="1373"/>
    </row>
    <row r="151" spans="20:21" x14ac:dyDescent="0.2">
      <c r="T151" s="1372"/>
      <c r="U151" s="1373"/>
    </row>
    <row r="152" spans="20:21" x14ac:dyDescent="0.2">
      <c r="T152" s="1372"/>
      <c r="U152" s="1373"/>
    </row>
    <row r="153" spans="20:21" x14ac:dyDescent="0.2">
      <c r="T153" s="1372"/>
      <c r="U153" s="1373"/>
    </row>
    <row r="154" spans="20:21" x14ac:dyDescent="0.2">
      <c r="T154" s="1372"/>
      <c r="U154" s="1373"/>
    </row>
    <row r="155" spans="20:21" x14ac:dyDescent="0.2">
      <c r="T155" s="1372"/>
      <c r="U155" s="1373"/>
    </row>
    <row r="156" spans="20:21" x14ac:dyDescent="0.2">
      <c r="T156" s="1372"/>
      <c r="U156" s="1373"/>
    </row>
    <row r="157" spans="20:21" x14ac:dyDescent="0.2">
      <c r="T157" s="1372"/>
      <c r="U157" s="1373"/>
    </row>
    <row r="158" spans="20:21" x14ac:dyDescent="0.2">
      <c r="T158" s="1372"/>
      <c r="U158" s="1373"/>
    </row>
    <row r="159" spans="20:21" x14ac:dyDescent="0.2">
      <c r="T159" s="1372"/>
      <c r="U159" s="1373"/>
    </row>
    <row r="160" spans="20:21" x14ac:dyDescent="0.2">
      <c r="T160" s="1372"/>
      <c r="U160" s="1373"/>
    </row>
    <row r="161" spans="20:21" x14ac:dyDescent="0.2">
      <c r="T161" s="1372"/>
      <c r="U161" s="1373"/>
    </row>
    <row r="162" spans="20:21" x14ac:dyDescent="0.2">
      <c r="T162" s="1372"/>
      <c r="U162" s="1373"/>
    </row>
    <row r="163" spans="20:21" x14ac:dyDescent="0.2">
      <c r="T163" s="1372"/>
      <c r="U163" s="1373"/>
    </row>
    <row r="164" spans="20:21" x14ac:dyDescent="0.2">
      <c r="T164" s="1372"/>
      <c r="U164" s="1373"/>
    </row>
    <row r="165" spans="20:21" x14ac:dyDescent="0.2">
      <c r="T165" s="1372"/>
      <c r="U165" s="1373"/>
    </row>
    <row r="166" spans="20:21" x14ac:dyDescent="0.2">
      <c r="T166" s="1372"/>
      <c r="U166" s="1373"/>
    </row>
    <row r="167" spans="20:21" x14ac:dyDescent="0.2">
      <c r="T167" s="1372"/>
      <c r="U167" s="1373"/>
    </row>
    <row r="168" spans="20:21" x14ac:dyDescent="0.2">
      <c r="T168" s="1372"/>
      <c r="U168" s="1373"/>
    </row>
    <row r="169" spans="20:21" x14ac:dyDescent="0.2">
      <c r="T169" s="1372"/>
      <c r="U169" s="1373"/>
    </row>
    <row r="170" spans="20:21" x14ac:dyDescent="0.2">
      <c r="T170" s="1372"/>
      <c r="U170" s="1373"/>
    </row>
    <row r="171" spans="20:21" x14ac:dyDescent="0.2">
      <c r="T171" s="1372"/>
      <c r="U171" s="1373"/>
    </row>
    <row r="172" spans="20:21" x14ac:dyDescent="0.2">
      <c r="T172" s="1372"/>
      <c r="U172" s="1373"/>
    </row>
    <row r="173" spans="20:21" x14ac:dyDescent="0.2">
      <c r="T173" s="1372"/>
      <c r="U173" s="1373"/>
    </row>
    <row r="174" spans="20:21" x14ac:dyDescent="0.2">
      <c r="T174" s="1372"/>
      <c r="U174" s="1373"/>
    </row>
    <row r="175" spans="20:21" x14ac:dyDescent="0.2">
      <c r="T175" s="1372"/>
      <c r="U175" s="1373"/>
    </row>
    <row r="176" spans="20:21" x14ac:dyDescent="0.2">
      <c r="T176" s="1372"/>
      <c r="U176" s="1373"/>
    </row>
    <row r="177" spans="20:21" x14ac:dyDescent="0.2">
      <c r="T177" s="1372"/>
      <c r="U177" s="1373"/>
    </row>
    <row r="178" spans="20:21" x14ac:dyDescent="0.2">
      <c r="T178" s="1372"/>
      <c r="U178" s="1373"/>
    </row>
    <row r="179" spans="20:21" x14ac:dyDescent="0.2">
      <c r="T179" s="1372"/>
      <c r="U179" s="1373"/>
    </row>
    <row r="180" spans="20:21" x14ac:dyDescent="0.2">
      <c r="T180" s="1372"/>
      <c r="U180" s="1373"/>
    </row>
    <row r="181" spans="20:21" x14ac:dyDescent="0.2">
      <c r="T181" s="1372"/>
      <c r="U181" s="1373"/>
    </row>
    <row r="182" spans="20:21" x14ac:dyDescent="0.2">
      <c r="T182" s="1372"/>
      <c r="U182" s="1373"/>
    </row>
    <row r="183" spans="20:21" x14ac:dyDescent="0.2">
      <c r="T183" s="1372"/>
      <c r="U183" s="1373"/>
    </row>
    <row r="184" spans="20:21" x14ac:dyDescent="0.2">
      <c r="T184" s="1372"/>
      <c r="U184" s="1373"/>
    </row>
    <row r="185" spans="20:21" x14ac:dyDescent="0.2">
      <c r="T185" s="1372"/>
      <c r="U185" s="1373"/>
    </row>
    <row r="186" spans="20:21" x14ac:dyDescent="0.2">
      <c r="T186" s="1372"/>
      <c r="U186" s="1373"/>
    </row>
    <row r="187" spans="20:21" x14ac:dyDescent="0.2">
      <c r="T187" s="1372"/>
      <c r="U187" s="1373"/>
    </row>
    <row r="188" spans="20:21" x14ac:dyDescent="0.2">
      <c r="T188" s="1372"/>
      <c r="U188" s="1373"/>
    </row>
    <row r="189" spans="20:21" x14ac:dyDescent="0.2">
      <c r="T189" s="1372"/>
      <c r="U189" s="1373"/>
    </row>
    <row r="190" spans="20:21" x14ac:dyDescent="0.2">
      <c r="T190" s="1372"/>
      <c r="U190" s="1373"/>
    </row>
    <row r="191" spans="20:21" x14ac:dyDescent="0.2">
      <c r="T191" s="1372"/>
      <c r="U191" s="1373"/>
    </row>
    <row r="192" spans="20:21" x14ac:dyDescent="0.2">
      <c r="T192" s="1372"/>
      <c r="U192" s="1373"/>
    </row>
    <row r="193" spans="20:21" x14ac:dyDescent="0.2">
      <c r="T193" s="1372"/>
      <c r="U193" s="1373"/>
    </row>
    <row r="194" spans="20:21" x14ac:dyDescent="0.2">
      <c r="T194" s="1372"/>
      <c r="U194" s="1373"/>
    </row>
    <row r="195" spans="20:21" x14ac:dyDescent="0.2">
      <c r="T195" s="1372"/>
      <c r="U195" s="1373"/>
    </row>
    <row r="196" spans="20:21" x14ac:dyDescent="0.2">
      <c r="T196" s="1372"/>
      <c r="U196" s="1373"/>
    </row>
    <row r="197" spans="20:21" x14ac:dyDescent="0.2">
      <c r="T197" s="1372"/>
      <c r="U197" s="1373"/>
    </row>
    <row r="198" spans="20:21" x14ac:dyDescent="0.2">
      <c r="T198" s="1372"/>
      <c r="U198" s="1373"/>
    </row>
    <row r="199" spans="20:21" x14ac:dyDescent="0.2">
      <c r="T199" s="1372"/>
      <c r="U199" s="1373"/>
    </row>
    <row r="200" spans="20:21" x14ac:dyDescent="0.2">
      <c r="T200" s="1372"/>
      <c r="U200" s="1373"/>
    </row>
    <row r="201" spans="20:21" x14ac:dyDescent="0.2">
      <c r="T201" s="1372"/>
      <c r="U201" s="1373"/>
    </row>
    <row r="202" spans="20:21" x14ac:dyDescent="0.2">
      <c r="T202" s="1372"/>
      <c r="U202" s="1373"/>
    </row>
    <row r="203" spans="20:21" x14ac:dyDescent="0.2">
      <c r="T203" s="1372"/>
      <c r="U203" s="1373"/>
    </row>
    <row r="204" spans="20:21" x14ac:dyDescent="0.2">
      <c r="T204" s="1372"/>
      <c r="U204" s="1373"/>
    </row>
    <row r="205" spans="20:21" x14ac:dyDescent="0.2">
      <c r="T205" s="1372"/>
      <c r="U205" s="1373"/>
    </row>
    <row r="206" spans="20:21" x14ac:dyDescent="0.2">
      <c r="T206" s="1372"/>
      <c r="U206" s="1373"/>
    </row>
    <row r="207" spans="20:21" x14ac:dyDescent="0.2">
      <c r="T207" s="1372"/>
      <c r="U207" s="1373"/>
    </row>
    <row r="208" spans="20:21" x14ac:dyDescent="0.2">
      <c r="T208" s="1372"/>
      <c r="U208" s="1373"/>
    </row>
    <row r="209" spans="20:21" x14ac:dyDescent="0.2">
      <c r="T209" s="1372"/>
      <c r="U209" s="1373"/>
    </row>
    <row r="210" spans="20:21" x14ac:dyDescent="0.2">
      <c r="T210" s="1372"/>
      <c r="U210" s="1373"/>
    </row>
    <row r="211" spans="20:21" x14ac:dyDescent="0.2">
      <c r="T211" s="1372"/>
      <c r="U211" s="1373"/>
    </row>
    <row r="212" spans="20:21" x14ac:dyDescent="0.2">
      <c r="T212" s="1372"/>
      <c r="U212" s="1373"/>
    </row>
    <row r="213" spans="20:21" x14ac:dyDescent="0.2">
      <c r="T213" s="1372"/>
      <c r="U213" s="1373"/>
    </row>
    <row r="214" spans="20:21" x14ac:dyDescent="0.2">
      <c r="T214" s="1372"/>
      <c r="U214" s="1373"/>
    </row>
    <row r="215" spans="20:21" x14ac:dyDescent="0.2">
      <c r="T215" s="1372"/>
      <c r="U215" s="1373"/>
    </row>
    <row r="216" spans="20:21" x14ac:dyDescent="0.2">
      <c r="T216" s="1372"/>
      <c r="U216" s="1373"/>
    </row>
    <row r="217" spans="20:21" x14ac:dyDescent="0.2">
      <c r="T217" s="1372"/>
      <c r="U217" s="1373"/>
    </row>
    <row r="218" spans="20:21" x14ac:dyDescent="0.2">
      <c r="T218" s="1372"/>
      <c r="U218" s="1373"/>
    </row>
    <row r="219" spans="20:21" x14ac:dyDescent="0.2">
      <c r="T219" s="1372"/>
      <c r="U219" s="1373"/>
    </row>
    <row r="220" spans="20:21" x14ac:dyDescent="0.2">
      <c r="T220" s="1372"/>
      <c r="U220" s="1373"/>
    </row>
    <row r="221" spans="20:21" x14ac:dyDescent="0.2">
      <c r="T221" s="1372"/>
      <c r="U221" s="1373"/>
    </row>
    <row r="222" spans="20:21" x14ac:dyDescent="0.2">
      <c r="T222" s="1372"/>
      <c r="U222" s="1373"/>
    </row>
    <row r="223" spans="20:21" x14ac:dyDescent="0.2">
      <c r="T223" s="1372"/>
      <c r="U223" s="1373"/>
    </row>
    <row r="224" spans="20:21" x14ac:dyDescent="0.2">
      <c r="T224" s="1372"/>
      <c r="U224" s="1373"/>
    </row>
    <row r="225" spans="2:52" ht="13.5" thickBot="1" x14ac:dyDescent="0.25">
      <c r="T225" s="1372"/>
      <c r="U225" s="1373"/>
    </row>
    <row r="226" spans="2:52" ht="39" thickTop="1" x14ac:dyDescent="0.2">
      <c r="B226" s="1501" t="s">
        <v>342</v>
      </c>
      <c r="C226" s="1502" t="s">
        <v>343</v>
      </c>
      <c r="D226" s="1503" t="s">
        <v>344</v>
      </c>
      <c r="E226" s="1503" t="s">
        <v>345</v>
      </c>
      <c r="F226" s="1502" t="s">
        <v>346</v>
      </c>
      <c r="G226" s="1503" t="s">
        <v>347</v>
      </c>
      <c r="H226" s="1504" t="s">
        <v>348</v>
      </c>
      <c r="I226" s="1505" t="s">
        <v>349</v>
      </c>
      <c r="J226" s="1506"/>
      <c r="K226" s="1507" t="s">
        <v>350</v>
      </c>
      <c r="L226" s="1507"/>
      <c r="M226" s="1508" t="s">
        <v>351</v>
      </c>
      <c r="N226" s="1509"/>
      <c r="O226" s="1510" t="s">
        <v>352</v>
      </c>
      <c r="P226" s="1510"/>
      <c r="Q226" s="1511" t="s">
        <v>100</v>
      </c>
      <c r="R226" s="1512"/>
      <c r="S226" s="1511" t="s">
        <v>101</v>
      </c>
      <c r="T226" s="1512"/>
      <c r="U226" s="1513" t="s">
        <v>325</v>
      </c>
      <c r="V226" s="1514"/>
      <c r="W226" s="1513" t="s">
        <v>326</v>
      </c>
      <c r="X226" s="1514"/>
      <c r="Y226" s="1513" t="s">
        <v>327</v>
      </c>
      <c r="Z226" s="1514"/>
      <c r="AA226" s="1513" t="s">
        <v>328</v>
      </c>
      <c r="AB226" s="1514"/>
      <c r="AC226" s="1513" t="s">
        <v>337</v>
      </c>
      <c r="AD226" s="1514"/>
      <c r="AE226" s="1513" t="s">
        <v>338</v>
      </c>
      <c r="AF226" s="1514"/>
      <c r="AG226" s="1511" t="s">
        <v>339</v>
      </c>
      <c r="AH226" s="1512"/>
      <c r="AI226" s="1511" t="s">
        <v>340</v>
      </c>
      <c r="AJ226" s="1512"/>
      <c r="AK226" s="1511" t="s">
        <v>335</v>
      </c>
      <c r="AL226" s="1512"/>
      <c r="AM226" s="1511" t="s">
        <v>336</v>
      </c>
      <c r="AN226" s="1512"/>
      <c r="AO226" s="1511" t="s">
        <v>353</v>
      </c>
      <c r="AP226" s="1512"/>
      <c r="AQ226" s="1511" t="s">
        <v>354</v>
      </c>
      <c r="AR226" s="1512"/>
      <c r="AS226" s="1511" t="s">
        <v>329</v>
      </c>
      <c r="AT226" s="1512"/>
      <c r="AU226" s="1511" t="s">
        <v>330</v>
      </c>
      <c r="AV226" s="1512"/>
      <c r="AW226" s="1511" t="s">
        <v>355</v>
      </c>
      <c r="AX226" s="1512"/>
      <c r="AY226" s="1511" t="s">
        <v>356</v>
      </c>
      <c r="AZ226" s="1512"/>
    </row>
    <row r="227" spans="2:52" ht="15" x14ac:dyDescent="0.2">
      <c r="B227" s="1515" t="s">
        <v>357</v>
      </c>
      <c r="C227" s="1516"/>
      <c r="D227" s="1517"/>
      <c r="E227" s="1517"/>
      <c r="F227" s="1518"/>
      <c r="G227" s="1517"/>
      <c r="H227" s="1517"/>
      <c r="I227" s="1519"/>
      <c r="J227" s="1519"/>
      <c r="K227" s="1519"/>
      <c r="L227" s="1519"/>
      <c r="M227" s="1519"/>
      <c r="N227" s="1519"/>
      <c r="O227" s="1519"/>
      <c r="P227" s="1519"/>
      <c r="Q227" s="1519"/>
      <c r="R227" s="1519"/>
      <c r="S227" s="1519"/>
      <c r="T227" s="1519"/>
      <c r="U227" s="1519"/>
      <c r="V227" s="1519"/>
      <c r="W227" s="1519"/>
      <c r="X227" s="1519"/>
      <c r="Y227" s="1519"/>
      <c r="Z227" s="1519"/>
      <c r="AA227" s="1519"/>
      <c r="AB227" s="1519"/>
      <c r="AC227" s="1519"/>
      <c r="AD227" s="1519"/>
      <c r="AE227" s="1519"/>
      <c r="AF227" s="1519"/>
      <c r="AG227" s="1519"/>
      <c r="AH227" s="1519"/>
      <c r="AI227" s="1519"/>
      <c r="AJ227" s="1519"/>
      <c r="AK227" s="1519"/>
      <c r="AL227" s="1519"/>
      <c r="AM227" s="1519"/>
      <c r="AN227" s="1519"/>
      <c r="AO227" s="1519"/>
      <c r="AP227" s="1519"/>
      <c r="AQ227" s="1519"/>
      <c r="AR227" s="1519"/>
      <c r="AS227" s="1519"/>
      <c r="AT227" s="1519"/>
      <c r="AU227" s="1519"/>
      <c r="AV227" s="1519"/>
      <c r="AW227" s="1519"/>
      <c r="AX227" s="1519"/>
      <c r="AY227" s="1519"/>
      <c r="AZ227" s="1519"/>
    </row>
    <row r="228" spans="2:52" ht="15" x14ac:dyDescent="0.2">
      <c r="B228" s="1515" t="s">
        <v>358</v>
      </c>
      <c r="C228" s="1518"/>
      <c r="D228" s="1517"/>
      <c r="E228" s="1517"/>
      <c r="F228" s="1518"/>
      <c r="G228" s="1517"/>
      <c r="H228" s="1517"/>
      <c r="I228" s="1519"/>
      <c r="J228" s="1519"/>
      <c r="K228" s="1519"/>
      <c r="L228" s="1519"/>
      <c r="M228" s="1519"/>
      <c r="N228" s="1519"/>
      <c r="O228" s="1519"/>
      <c r="P228" s="1519"/>
      <c r="Q228" s="1519"/>
      <c r="R228" s="1519"/>
      <c r="S228" s="1519"/>
      <c r="T228" s="1519"/>
      <c r="U228" s="1519"/>
      <c r="V228" s="1519"/>
      <c r="W228" s="1519"/>
      <c r="X228" s="1519"/>
      <c r="Y228" s="1519"/>
      <c r="Z228" s="1519"/>
      <c r="AA228" s="1519"/>
      <c r="AB228" s="1519"/>
      <c r="AC228" s="1519"/>
      <c r="AD228" s="1519"/>
      <c r="AE228" s="1519"/>
      <c r="AF228" s="1519"/>
      <c r="AG228" s="1519"/>
      <c r="AH228" s="1519"/>
      <c r="AI228" s="1519"/>
      <c r="AJ228" s="1519"/>
      <c r="AK228" s="1519"/>
      <c r="AL228" s="1519"/>
      <c r="AM228" s="1519"/>
      <c r="AN228" s="1519"/>
      <c r="AO228" s="1519"/>
      <c r="AP228" s="1519"/>
      <c r="AQ228" s="1519"/>
      <c r="AR228" s="1519"/>
      <c r="AS228" s="1519"/>
      <c r="AT228" s="1519"/>
      <c r="AU228" s="1519"/>
      <c r="AV228" s="1519"/>
      <c r="AW228" s="1519"/>
      <c r="AX228" s="1519"/>
      <c r="AY228" s="1519"/>
      <c r="AZ228" s="1519"/>
    </row>
    <row r="229" spans="2:52" ht="15" x14ac:dyDescent="0.2">
      <c r="B229" s="1515" t="s">
        <v>359</v>
      </c>
      <c r="C229" s="1518"/>
      <c r="D229" s="1517"/>
      <c r="E229" s="1517"/>
      <c r="F229" s="1518"/>
      <c r="G229" s="1517"/>
      <c r="H229" s="1517"/>
      <c r="I229" s="1519"/>
      <c r="J229" s="1519"/>
      <c r="K229" s="1519"/>
      <c r="L229" s="1519"/>
      <c r="M229" s="1519"/>
      <c r="N229" s="1519"/>
      <c r="O229" s="1519"/>
      <c r="P229" s="1519"/>
      <c r="Q229" s="1519"/>
      <c r="R229" s="1519"/>
      <c r="S229" s="1519"/>
      <c r="T229" s="1519"/>
      <c r="U229" s="1519"/>
      <c r="V229" s="1519"/>
      <c r="W229" s="1519"/>
      <c r="X229" s="1519"/>
      <c r="Y229" s="1519"/>
      <c r="Z229" s="1519"/>
      <c r="AA229" s="1519"/>
      <c r="AB229" s="1519"/>
      <c r="AC229" s="1519"/>
      <c r="AD229" s="1519"/>
      <c r="AE229" s="1519"/>
      <c r="AF229" s="1519"/>
      <c r="AG229" s="1519"/>
      <c r="AH229" s="1519"/>
      <c r="AI229" s="1519"/>
      <c r="AJ229" s="1519"/>
      <c r="AK229" s="1519"/>
      <c r="AL229" s="1519"/>
      <c r="AM229" s="1519"/>
      <c r="AN229" s="1519"/>
      <c r="AO229" s="1519"/>
      <c r="AP229" s="1519"/>
      <c r="AQ229" s="1519"/>
      <c r="AR229" s="1519"/>
      <c r="AS229" s="1519"/>
      <c r="AT229" s="1519"/>
      <c r="AU229" s="1519"/>
      <c r="AV229" s="1519"/>
      <c r="AW229" s="1519"/>
      <c r="AX229" s="1519"/>
      <c r="AY229" s="1519"/>
      <c r="AZ229" s="1519"/>
    </row>
    <row r="230" spans="2:52" ht="15" x14ac:dyDescent="0.2">
      <c r="B230" s="1515" t="s">
        <v>360</v>
      </c>
      <c r="C230" s="1518"/>
      <c r="D230" s="1517"/>
      <c r="E230" s="1517"/>
      <c r="F230" s="1518"/>
      <c r="G230" s="1517"/>
      <c r="H230" s="1517"/>
      <c r="I230" s="1519"/>
      <c r="J230" s="1519"/>
      <c r="K230" s="1519"/>
      <c r="L230" s="1519"/>
      <c r="M230" s="1519"/>
      <c r="N230" s="1519"/>
      <c r="O230" s="1519"/>
      <c r="P230" s="1519"/>
      <c r="Q230" s="1519"/>
      <c r="R230" s="1519"/>
      <c r="S230" s="1519"/>
      <c r="T230" s="1519"/>
      <c r="U230" s="1519"/>
      <c r="V230" s="1519"/>
      <c r="W230" s="1519"/>
      <c r="X230" s="1519"/>
      <c r="Y230" s="1519"/>
      <c r="Z230" s="1519"/>
      <c r="AA230" s="1519"/>
      <c r="AB230" s="1519"/>
      <c r="AC230" s="1519"/>
      <c r="AD230" s="1519"/>
      <c r="AE230" s="1519"/>
      <c r="AF230" s="1519"/>
      <c r="AG230" s="1519"/>
      <c r="AH230" s="1519"/>
      <c r="AI230" s="1519"/>
      <c r="AJ230" s="1519"/>
      <c r="AK230" s="1519"/>
      <c r="AL230" s="1519"/>
      <c r="AM230" s="1519"/>
      <c r="AN230" s="1519"/>
      <c r="AO230" s="1519"/>
      <c r="AP230" s="1519"/>
      <c r="AQ230" s="1519"/>
      <c r="AR230" s="1519"/>
      <c r="AS230" s="1519"/>
      <c r="AT230" s="1519"/>
      <c r="AU230" s="1519"/>
      <c r="AV230" s="1519"/>
      <c r="AW230" s="1519"/>
      <c r="AX230" s="1519"/>
      <c r="AY230" s="1519"/>
      <c r="AZ230" s="1519"/>
    </row>
    <row r="231" spans="2:52" ht="15" x14ac:dyDescent="0.2">
      <c r="B231" s="1515" t="s">
        <v>361</v>
      </c>
      <c r="C231" s="1518"/>
      <c r="D231" s="1517"/>
      <c r="E231" s="1517"/>
      <c r="F231" s="1518"/>
      <c r="G231" s="1517"/>
      <c r="H231" s="1517"/>
      <c r="I231" s="1519"/>
      <c r="J231" s="1519"/>
      <c r="K231" s="1519"/>
      <c r="L231" s="1519"/>
      <c r="M231" s="1519"/>
      <c r="N231" s="1519"/>
      <c r="O231" s="1519"/>
      <c r="P231" s="1519"/>
      <c r="Q231" s="1519"/>
      <c r="R231" s="1519"/>
      <c r="S231" s="1519"/>
      <c r="T231" s="1519"/>
      <c r="U231" s="1519"/>
      <c r="V231" s="1519"/>
      <c r="W231" s="1519"/>
      <c r="X231" s="1519"/>
      <c r="Y231" s="1519"/>
      <c r="Z231" s="1519"/>
      <c r="AA231" s="1519"/>
      <c r="AB231" s="1519"/>
      <c r="AC231" s="1519"/>
      <c r="AD231" s="1519"/>
      <c r="AE231" s="1519"/>
      <c r="AF231" s="1519"/>
      <c r="AG231" s="1519"/>
      <c r="AH231" s="1519"/>
      <c r="AI231" s="1519"/>
      <c r="AJ231" s="1519"/>
      <c r="AK231" s="1519"/>
      <c r="AL231" s="1519"/>
      <c r="AM231" s="1519"/>
      <c r="AN231" s="1519"/>
      <c r="AO231" s="1519"/>
      <c r="AP231" s="1519"/>
      <c r="AQ231" s="1519"/>
      <c r="AR231" s="1519"/>
      <c r="AS231" s="1519"/>
      <c r="AT231" s="1519"/>
      <c r="AU231" s="1519"/>
      <c r="AV231" s="1519"/>
      <c r="AW231" s="1519"/>
      <c r="AX231" s="1519"/>
      <c r="AY231" s="1519"/>
      <c r="AZ231" s="1519"/>
    </row>
    <row r="232" spans="2:52" ht="15" x14ac:dyDescent="0.2">
      <c r="B232" s="1515" t="s">
        <v>308</v>
      </c>
      <c r="C232" s="1518"/>
      <c r="D232" s="1517"/>
      <c r="E232" s="1517"/>
      <c r="F232" s="1518"/>
      <c r="G232" s="1517"/>
      <c r="H232" s="1517"/>
      <c r="I232" s="1519"/>
      <c r="J232" s="1519"/>
      <c r="K232" s="1519"/>
      <c r="L232" s="1519"/>
      <c r="M232" s="1519"/>
      <c r="N232" s="1519"/>
      <c r="O232" s="1519"/>
      <c r="P232" s="1519"/>
      <c r="Q232" s="1519"/>
      <c r="R232" s="1519"/>
      <c r="S232" s="1519"/>
      <c r="T232" s="1519"/>
      <c r="U232" s="1519"/>
      <c r="V232" s="1519"/>
      <c r="W232" s="1519"/>
      <c r="X232" s="1519"/>
      <c r="Y232" s="1519"/>
      <c r="Z232" s="1519"/>
      <c r="AA232" s="1519"/>
      <c r="AB232" s="1519"/>
      <c r="AC232" s="1519"/>
      <c r="AD232" s="1519"/>
      <c r="AE232" s="1519"/>
      <c r="AF232" s="1519"/>
      <c r="AG232" s="1519"/>
      <c r="AH232" s="1519"/>
      <c r="AI232" s="1519"/>
      <c r="AJ232" s="1519"/>
      <c r="AK232" s="1519"/>
      <c r="AL232" s="1519"/>
      <c r="AM232" s="1519"/>
      <c r="AN232" s="1519"/>
      <c r="AO232" s="1519"/>
      <c r="AP232" s="1519"/>
      <c r="AQ232" s="1519"/>
      <c r="AR232" s="1519"/>
      <c r="AS232" s="1519"/>
      <c r="AT232" s="1519"/>
      <c r="AU232" s="1519"/>
      <c r="AV232" s="1519"/>
      <c r="AW232" s="1519"/>
      <c r="AX232" s="1519"/>
      <c r="AY232" s="1519"/>
      <c r="AZ232" s="1519"/>
    </row>
    <row r="233" spans="2:52" ht="15" x14ac:dyDescent="0.2">
      <c r="B233" s="1515" t="s">
        <v>362</v>
      </c>
      <c r="C233" s="1518"/>
      <c r="D233" s="1517"/>
      <c r="E233" s="1517"/>
      <c r="F233" s="1518"/>
      <c r="G233" s="1517"/>
      <c r="H233" s="1517"/>
      <c r="I233" s="1519"/>
      <c r="J233" s="1519"/>
      <c r="K233" s="1519"/>
      <c r="L233" s="1519"/>
      <c r="M233" s="1519"/>
      <c r="N233" s="1519"/>
      <c r="O233" s="1519"/>
      <c r="P233" s="1519"/>
      <c r="Q233" s="1519"/>
      <c r="R233" s="1519"/>
      <c r="S233" s="1519"/>
      <c r="T233" s="1519"/>
      <c r="U233" s="1519"/>
      <c r="V233" s="1519"/>
      <c r="W233" s="1519"/>
      <c r="X233" s="1519"/>
      <c r="Y233" s="1519"/>
      <c r="Z233" s="1519"/>
      <c r="AA233" s="1519"/>
      <c r="AB233" s="1519"/>
      <c r="AC233" s="1519"/>
      <c r="AD233" s="1519"/>
      <c r="AE233" s="1519"/>
      <c r="AF233" s="1519"/>
      <c r="AG233" s="1519"/>
      <c r="AH233" s="1519"/>
      <c r="AI233" s="1519"/>
      <c r="AJ233" s="1519"/>
      <c r="AK233" s="1519"/>
      <c r="AL233" s="1519"/>
      <c r="AM233" s="1519"/>
      <c r="AN233" s="1519"/>
      <c r="AO233" s="1519"/>
      <c r="AP233" s="1519"/>
      <c r="AQ233" s="1519"/>
      <c r="AR233" s="1519"/>
      <c r="AS233" s="1519"/>
      <c r="AT233" s="1519"/>
      <c r="AU233" s="1519"/>
      <c r="AV233" s="1519"/>
      <c r="AW233" s="1519"/>
      <c r="AX233" s="1519"/>
      <c r="AY233" s="1519"/>
      <c r="AZ233" s="1519"/>
    </row>
    <row r="234" spans="2:52" ht="15" x14ac:dyDescent="0.2">
      <c r="B234" s="1515" t="s">
        <v>288</v>
      </c>
      <c r="C234" s="1518"/>
      <c r="D234" s="1517"/>
      <c r="E234" s="1517"/>
      <c r="F234" s="1518"/>
      <c r="G234" s="1517"/>
      <c r="H234" s="1517"/>
      <c r="I234" s="1519"/>
      <c r="J234" s="1519"/>
      <c r="K234" s="1519"/>
      <c r="L234" s="1519"/>
      <c r="M234" s="1519"/>
      <c r="N234" s="1519"/>
      <c r="O234" s="1519"/>
      <c r="P234" s="1519"/>
      <c r="Q234" s="1519"/>
      <c r="R234" s="1519"/>
      <c r="S234" s="1519"/>
      <c r="T234" s="1519"/>
      <c r="U234" s="1519"/>
      <c r="V234" s="1519"/>
      <c r="W234" s="1519"/>
      <c r="X234" s="1519"/>
      <c r="Y234" s="1519"/>
      <c r="Z234" s="1519"/>
      <c r="AA234" s="1519"/>
      <c r="AB234" s="1519"/>
      <c r="AC234" s="1519"/>
      <c r="AD234" s="1519"/>
      <c r="AE234" s="1519"/>
      <c r="AF234" s="1519"/>
      <c r="AG234" s="1519"/>
      <c r="AH234" s="1519"/>
      <c r="AI234" s="1519"/>
      <c r="AJ234" s="1519"/>
      <c r="AK234" s="1519"/>
      <c r="AL234" s="1519"/>
      <c r="AM234" s="1519"/>
      <c r="AN234" s="1519"/>
      <c r="AO234" s="1519"/>
      <c r="AP234" s="1519"/>
      <c r="AQ234" s="1519"/>
      <c r="AR234" s="1519"/>
      <c r="AS234" s="1519"/>
      <c r="AT234" s="1519"/>
      <c r="AU234" s="1519"/>
      <c r="AV234" s="1519"/>
      <c r="AW234" s="1519"/>
      <c r="AX234" s="1519"/>
      <c r="AY234" s="1519"/>
      <c r="AZ234" s="1519"/>
    </row>
    <row r="235" spans="2:52" ht="15" x14ac:dyDescent="0.2">
      <c r="B235" s="1515" t="s">
        <v>363</v>
      </c>
      <c r="C235" s="1518"/>
      <c r="D235" s="1517"/>
      <c r="E235" s="1517"/>
      <c r="F235" s="1518"/>
      <c r="G235" s="1517"/>
      <c r="H235" s="1517"/>
      <c r="I235" s="1519"/>
      <c r="J235" s="1519"/>
      <c r="K235" s="1519"/>
      <c r="L235" s="1519"/>
      <c r="M235" s="1519"/>
      <c r="N235" s="1519"/>
      <c r="O235" s="1519"/>
      <c r="P235" s="1519"/>
      <c r="Q235" s="1519"/>
      <c r="R235" s="1519"/>
      <c r="S235" s="1519"/>
      <c r="T235" s="1519"/>
      <c r="U235" s="1519"/>
      <c r="V235" s="1519"/>
      <c r="W235" s="1519"/>
      <c r="X235" s="1519"/>
      <c r="Y235" s="1519"/>
      <c r="Z235" s="1519"/>
      <c r="AA235" s="1519"/>
      <c r="AB235" s="1519"/>
      <c r="AC235" s="1519"/>
      <c r="AD235" s="1519"/>
      <c r="AE235" s="1519"/>
      <c r="AF235" s="1519"/>
      <c r="AG235" s="1519"/>
      <c r="AH235" s="1519"/>
      <c r="AI235" s="1519"/>
      <c r="AJ235" s="1519"/>
      <c r="AK235" s="1519"/>
      <c r="AL235" s="1519"/>
      <c r="AM235" s="1519"/>
      <c r="AN235" s="1519"/>
      <c r="AO235" s="1519"/>
      <c r="AP235" s="1519"/>
      <c r="AQ235" s="1519"/>
      <c r="AR235" s="1519"/>
      <c r="AS235" s="1519"/>
      <c r="AT235" s="1519"/>
      <c r="AU235" s="1519"/>
      <c r="AV235" s="1519"/>
      <c r="AW235" s="1519"/>
      <c r="AX235" s="1519"/>
      <c r="AY235" s="1519"/>
      <c r="AZ235" s="1519"/>
    </row>
    <row r="236" spans="2:52" ht="15" x14ac:dyDescent="0.2">
      <c r="B236" s="1515" t="s">
        <v>364</v>
      </c>
      <c r="C236" s="1518"/>
      <c r="D236" s="1517"/>
      <c r="E236" s="1517"/>
      <c r="F236" s="1518"/>
      <c r="G236" s="1517"/>
      <c r="H236" s="1517"/>
      <c r="I236" s="1519"/>
      <c r="J236" s="1519"/>
      <c r="K236" s="1519"/>
      <c r="L236" s="1519"/>
      <c r="M236" s="1519"/>
      <c r="N236" s="1519"/>
      <c r="O236" s="1519"/>
      <c r="P236" s="1519"/>
      <c r="Q236" s="1519"/>
      <c r="R236" s="1519"/>
      <c r="S236" s="1519"/>
      <c r="T236" s="1519"/>
      <c r="U236" s="1519"/>
      <c r="V236" s="1519"/>
      <c r="W236" s="1519"/>
      <c r="X236" s="1519"/>
      <c r="Y236" s="1519"/>
      <c r="Z236" s="1519"/>
      <c r="AA236" s="1519"/>
      <c r="AB236" s="1519"/>
      <c r="AC236" s="1519"/>
      <c r="AD236" s="1519"/>
      <c r="AE236" s="1519"/>
      <c r="AF236" s="1519"/>
      <c r="AG236" s="1519"/>
      <c r="AH236" s="1519"/>
      <c r="AI236" s="1519"/>
      <c r="AJ236" s="1519"/>
      <c r="AK236" s="1519"/>
      <c r="AL236" s="1519"/>
      <c r="AM236" s="1519"/>
      <c r="AN236" s="1519"/>
      <c r="AO236" s="1519"/>
      <c r="AP236" s="1519"/>
      <c r="AQ236" s="1519"/>
      <c r="AR236" s="1519"/>
      <c r="AS236" s="1519"/>
      <c r="AT236" s="1519"/>
      <c r="AU236" s="1519"/>
      <c r="AV236" s="1519"/>
      <c r="AW236" s="1519"/>
      <c r="AX236" s="1519"/>
      <c r="AY236" s="1519"/>
      <c r="AZ236" s="1519"/>
    </row>
    <row r="237" spans="2:52" ht="15" x14ac:dyDescent="0.2">
      <c r="B237" s="1515" t="s">
        <v>365</v>
      </c>
      <c r="C237" s="1518"/>
      <c r="D237" s="1517"/>
      <c r="E237" s="1517"/>
      <c r="F237" s="1518"/>
      <c r="G237" s="1517"/>
      <c r="H237" s="1517"/>
      <c r="I237" s="1519"/>
      <c r="J237" s="1519"/>
      <c r="K237" s="1519"/>
      <c r="L237" s="1519"/>
      <c r="M237" s="1519"/>
      <c r="N237" s="1519"/>
      <c r="O237" s="1519"/>
      <c r="P237" s="1519"/>
      <c r="Q237" s="1519"/>
      <c r="R237" s="1519"/>
      <c r="S237" s="1519"/>
      <c r="T237" s="1519"/>
      <c r="U237" s="1519"/>
      <c r="V237" s="1519"/>
      <c r="W237" s="1519"/>
      <c r="X237" s="1519"/>
      <c r="Y237" s="1519"/>
      <c r="Z237" s="1519"/>
      <c r="AA237" s="1519"/>
      <c r="AB237" s="1519"/>
      <c r="AC237" s="1519"/>
      <c r="AD237" s="1519"/>
      <c r="AE237" s="1519"/>
      <c r="AF237" s="1519"/>
      <c r="AG237" s="1519"/>
      <c r="AH237" s="1519"/>
      <c r="AI237" s="1519"/>
      <c r="AJ237" s="1519"/>
      <c r="AK237" s="1519"/>
      <c r="AL237" s="1519"/>
      <c r="AM237" s="1519"/>
      <c r="AN237" s="1519"/>
      <c r="AO237" s="1519"/>
      <c r="AP237" s="1519"/>
      <c r="AQ237" s="1519"/>
      <c r="AR237" s="1519"/>
      <c r="AS237" s="1519"/>
      <c r="AT237" s="1519"/>
      <c r="AU237" s="1519"/>
      <c r="AV237" s="1519"/>
      <c r="AW237" s="1519"/>
      <c r="AX237" s="1519"/>
      <c r="AY237" s="1519"/>
      <c r="AZ237" s="1519"/>
    </row>
    <row r="238" spans="2:52" ht="15" x14ac:dyDescent="0.2">
      <c r="B238" s="1515" t="s">
        <v>366</v>
      </c>
      <c r="C238" s="1518"/>
      <c r="D238" s="1517"/>
      <c r="E238" s="1517"/>
      <c r="F238" s="1518"/>
      <c r="G238" s="1517"/>
      <c r="H238" s="1517"/>
      <c r="I238" s="1519"/>
      <c r="J238" s="1519"/>
      <c r="K238" s="1519"/>
      <c r="L238" s="1519"/>
      <c r="M238" s="1519"/>
      <c r="N238" s="1519"/>
      <c r="O238" s="1519"/>
      <c r="P238" s="1519"/>
      <c r="Q238" s="1519"/>
      <c r="R238" s="1519"/>
      <c r="S238" s="1519"/>
      <c r="T238" s="1519"/>
      <c r="U238" s="1519"/>
      <c r="V238" s="1519"/>
      <c r="W238" s="1519"/>
      <c r="X238" s="1519"/>
      <c r="Y238" s="1519"/>
      <c r="Z238" s="1519"/>
      <c r="AA238" s="1519"/>
      <c r="AB238" s="1519"/>
      <c r="AC238" s="1519"/>
      <c r="AD238" s="1519"/>
      <c r="AE238" s="1519"/>
      <c r="AF238" s="1519"/>
      <c r="AG238" s="1519"/>
      <c r="AH238" s="1519"/>
      <c r="AI238" s="1519"/>
      <c r="AJ238" s="1519"/>
      <c r="AK238" s="1519"/>
      <c r="AL238" s="1519"/>
      <c r="AM238" s="1519"/>
      <c r="AN238" s="1519"/>
      <c r="AO238" s="1519"/>
      <c r="AP238" s="1519"/>
      <c r="AQ238" s="1519"/>
      <c r="AR238" s="1519"/>
      <c r="AS238" s="1519"/>
      <c r="AT238" s="1519"/>
      <c r="AU238" s="1519"/>
      <c r="AV238" s="1519"/>
      <c r="AW238" s="1519"/>
      <c r="AX238" s="1519"/>
      <c r="AY238" s="1519"/>
      <c r="AZ238" s="1519"/>
    </row>
    <row r="239" spans="2:52" ht="15" x14ac:dyDescent="0.2">
      <c r="B239" s="1515" t="s">
        <v>367</v>
      </c>
      <c r="C239" s="1518"/>
      <c r="D239" s="1517"/>
      <c r="E239" s="1517"/>
      <c r="F239" s="1518"/>
      <c r="G239" s="1517"/>
      <c r="H239" s="1517"/>
      <c r="I239" s="1519"/>
      <c r="J239" s="1519"/>
      <c r="K239" s="1519"/>
      <c r="L239" s="1519"/>
      <c r="M239" s="1519"/>
      <c r="N239" s="1519"/>
      <c r="O239" s="1519"/>
      <c r="P239" s="1519"/>
      <c r="Q239" s="1519"/>
      <c r="R239" s="1519"/>
      <c r="S239" s="1519"/>
      <c r="T239" s="1519"/>
      <c r="U239" s="1519"/>
      <c r="V239" s="1519"/>
      <c r="W239" s="1519"/>
      <c r="X239" s="1519"/>
      <c r="Y239" s="1519"/>
      <c r="Z239" s="1519"/>
      <c r="AA239" s="1519"/>
      <c r="AB239" s="1519"/>
      <c r="AC239" s="1519"/>
      <c r="AD239" s="1519"/>
      <c r="AE239" s="1519"/>
      <c r="AF239" s="1519"/>
      <c r="AG239" s="1519"/>
      <c r="AH239" s="1519"/>
      <c r="AI239" s="1519"/>
      <c r="AJ239" s="1519"/>
      <c r="AK239" s="1519"/>
      <c r="AL239" s="1519"/>
      <c r="AM239" s="1519"/>
      <c r="AN239" s="1519"/>
      <c r="AO239" s="1519"/>
      <c r="AP239" s="1519"/>
      <c r="AQ239" s="1519"/>
      <c r="AR239" s="1519"/>
      <c r="AS239" s="1519"/>
      <c r="AT239" s="1519"/>
      <c r="AU239" s="1519"/>
      <c r="AV239" s="1519"/>
      <c r="AW239" s="1519"/>
      <c r="AX239" s="1519"/>
      <c r="AY239" s="1519"/>
      <c r="AZ239" s="1519"/>
    </row>
    <row r="240" spans="2:52" ht="15" x14ac:dyDescent="0.2">
      <c r="B240" s="1515" t="s">
        <v>368</v>
      </c>
      <c r="C240" s="1518"/>
      <c r="D240" s="1517"/>
      <c r="E240" s="1517"/>
      <c r="F240" s="1518"/>
      <c r="G240" s="1517"/>
      <c r="H240" s="1517"/>
      <c r="I240" s="1519"/>
      <c r="J240" s="1519"/>
      <c r="K240" s="1519"/>
      <c r="L240" s="1519"/>
      <c r="M240" s="1519"/>
      <c r="N240" s="1519"/>
      <c r="O240" s="1519"/>
      <c r="P240" s="1519"/>
      <c r="Q240" s="1519"/>
      <c r="R240" s="1519"/>
      <c r="S240" s="1519"/>
      <c r="T240" s="1519"/>
      <c r="U240" s="1519"/>
      <c r="V240" s="1519"/>
      <c r="W240" s="1519"/>
      <c r="X240" s="1519"/>
      <c r="Y240" s="1519"/>
      <c r="Z240" s="1519"/>
      <c r="AA240" s="1519"/>
      <c r="AB240" s="1519"/>
      <c r="AC240" s="1519"/>
      <c r="AD240" s="1519"/>
      <c r="AE240" s="1519"/>
      <c r="AF240" s="1519"/>
      <c r="AG240" s="1519"/>
      <c r="AH240" s="1519"/>
      <c r="AI240" s="1519"/>
      <c r="AJ240" s="1519"/>
      <c r="AK240" s="1519"/>
      <c r="AL240" s="1519"/>
      <c r="AM240" s="1519"/>
      <c r="AN240" s="1519"/>
      <c r="AO240" s="1519"/>
      <c r="AP240" s="1519"/>
      <c r="AQ240" s="1519"/>
      <c r="AR240" s="1519"/>
      <c r="AS240" s="1519"/>
      <c r="AT240" s="1519"/>
      <c r="AU240" s="1519"/>
      <c r="AV240" s="1519"/>
      <c r="AW240" s="1519"/>
      <c r="AX240" s="1519"/>
      <c r="AY240" s="1519"/>
      <c r="AZ240" s="1519"/>
    </row>
    <row r="241" spans="2:52" ht="15" x14ac:dyDescent="0.2">
      <c r="B241" s="1515" t="s">
        <v>369</v>
      </c>
      <c r="C241" s="1518"/>
      <c r="D241" s="1517"/>
      <c r="E241" s="1517"/>
      <c r="F241" s="1518"/>
      <c r="G241" s="1517"/>
      <c r="H241" s="1517"/>
      <c r="I241" s="1519"/>
      <c r="J241" s="1519"/>
      <c r="K241" s="1519"/>
      <c r="L241" s="1519"/>
      <c r="M241" s="1519"/>
      <c r="N241" s="1519"/>
      <c r="O241" s="1519"/>
      <c r="P241" s="1519"/>
      <c r="Q241" s="1519"/>
      <c r="R241" s="1519"/>
      <c r="S241" s="1519"/>
      <c r="T241" s="1519"/>
      <c r="U241" s="1519"/>
      <c r="V241" s="1519"/>
      <c r="W241" s="1519"/>
      <c r="X241" s="1519"/>
      <c r="Y241" s="1519"/>
      <c r="Z241" s="1519"/>
      <c r="AA241" s="1519"/>
      <c r="AB241" s="1519"/>
      <c r="AC241" s="1519"/>
      <c r="AD241" s="1519"/>
      <c r="AE241" s="1519"/>
      <c r="AF241" s="1519"/>
      <c r="AG241" s="1519"/>
      <c r="AH241" s="1519"/>
      <c r="AI241" s="1519"/>
      <c r="AJ241" s="1519"/>
      <c r="AK241" s="1519"/>
      <c r="AL241" s="1519"/>
      <c r="AM241" s="1519"/>
      <c r="AN241" s="1519"/>
      <c r="AO241" s="1519"/>
      <c r="AP241" s="1519"/>
      <c r="AQ241" s="1519"/>
      <c r="AR241" s="1519"/>
      <c r="AS241" s="1519"/>
      <c r="AT241" s="1519"/>
      <c r="AU241" s="1519"/>
      <c r="AV241" s="1519"/>
      <c r="AW241" s="1519"/>
      <c r="AX241" s="1519"/>
      <c r="AY241" s="1519"/>
      <c r="AZ241" s="1519"/>
    </row>
    <row r="242" spans="2:52" ht="15" x14ac:dyDescent="0.2">
      <c r="B242" s="1515" t="s">
        <v>370</v>
      </c>
      <c r="C242" s="1518"/>
      <c r="D242" s="1517"/>
      <c r="E242" s="1517"/>
      <c r="F242" s="1518"/>
      <c r="G242" s="1517"/>
      <c r="H242" s="1517"/>
      <c r="I242" s="1519"/>
      <c r="J242" s="1519"/>
      <c r="K242" s="1519"/>
      <c r="L242" s="1519"/>
      <c r="M242" s="1519"/>
      <c r="N242" s="1519"/>
      <c r="O242" s="1519"/>
      <c r="P242" s="1519"/>
      <c r="Q242" s="1519"/>
      <c r="R242" s="1519"/>
      <c r="S242" s="1519"/>
      <c r="T242" s="1519"/>
      <c r="U242" s="1519"/>
      <c r="V242" s="1519"/>
      <c r="W242" s="1519"/>
      <c r="X242" s="1519"/>
      <c r="Y242" s="1519"/>
      <c r="Z242" s="1519"/>
      <c r="AA242" s="1519"/>
      <c r="AB242" s="1519"/>
      <c r="AC242" s="1519"/>
      <c r="AD242" s="1519"/>
      <c r="AE242" s="1519"/>
      <c r="AF242" s="1519"/>
      <c r="AG242" s="1519"/>
      <c r="AH242" s="1519"/>
      <c r="AI242" s="1519"/>
      <c r="AJ242" s="1519"/>
      <c r="AK242" s="1519"/>
      <c r="AL242" s="1519"/>
      <c r="AM242" s="1519"/>
      <c r="AN242" s="1519"/>
      <c r="AO242" s="1519"/>
      <c r="AP242" s="1519"/>
      <c r="AQ242" s="1519"/>
      <c r="AR242" s="1519"/>
      <c r="AS242" s="1519"/>
      <c r="AT242" s="1519"/>
      <c r="AU242" s="1519"/>
      <c r="AV242" s="1519"/>
      <c r="AW242" s="1519"/>
      <c r="AX242" s="1519"/>
      <c r="AY242" s="1519"/>
      <c r="AZ242" s="1519"/>
    </row>
    <row r="243" spans="2:52" ht="15" x14ac:dyDescent="0.2">
      <c r="B243" s="1515" t="s">
        <v>371</v>
      </c>
      <c r="C243" s="1518"/>
      <c r="D243" s="1517"/>
      <c r="E243" s="1517"/>
      <c r="F243" s="1518"/>
      <c r="G243" s="1517"/>
      <c r="H243" s="1517"/>
      <c r="I243" s="1519"/>
      <c r="J243" s="1519"/>
      <c r="K243" s="1519"/>
      <c r="L243" s="1519"/>
      <c r="M243" s="1519"/>
      <c r="N243" s="1519"/>
      <c r="O243" s="1519"/>
      <c r="P243" s="1519"/>
      <c r="Q243" s="1519"/>
      <c r="R243" s="1519"/>
      <c r="S243" s="1519"/>
      <c r="T243" s="1519"/>
      <c r="U243" s="1519"/>
      <c r="V243" s="1519"/>
      <c r="W243" s="1519"/>
      <c r="X243" s="1519"/>
      <c r="Y243" s="1519"/>
      <c r="Z243" s="1519"/>
      <c r="AA243" s="1519"/>
      <c r="AB243" s="1519"/>
      <c r="AC243" s="1519"/>
      <c r="AD243" s="1519"/>
      <c r="AE243" s="1519"/>
      <c r="AF243" s="1519"/>
      <c r="AG243" s="1519"/>
      <c r="AH243" s="1519"/>
      <c r="AI243" s="1519"/>
      <c r="AJ243" s="1519"/>
      <c r="AK243" s="1519"/>
      <c r="AL243" s="1519"/>
      <c r="AM243" s="1519"/>
      <c r="AN243" s="1519"/>
      <c r="AO243" s="1519"/>
      <c r="AP243" s="1519"/>
      <c r="AQ243" s="1519"/>
      <c r="AR243" s="1519"/>
      <c r="AS243" s="1519"/>
      <c r="AT243" s="1519"/>
      <c r="AU243" s="1519"/>
      <c r="AV243" s="1519"/>
      <c r="AW243" s="1519"/>
      <c r="AX243" s="1519"/>
      <c r="AY243" s="1519"/>
      <c r="AZ243" s="1519"/>
    </row>
    <row r="244" spans="2:52" ht="15" x14ac:dyDescent="0.2">
      <c r="B244" s="1515" t="s">
        <v>372</v>
      </c>
      <c r="C244" s="1518"/>
      <c r="D244" s="1517"/>
      <c r="E244" s="1517"/>
      <c r="F244" s="1518"/>
      <c r="G244" s="1517"/>
      <c r="H244" s="1517"/>
      <c r="I244" s="1519"/>
      <c r="J244" s="1519"/>
      <c r="K244" s="1519"/>
      <c r="L244" s="1519"/>
      <c r="M244" s="1519"/>
      <c r="N244" s="1519"/>
      <c r="O244" s="1519"/>
      <c r="P244" s="1519"/>
      <c r="Q244" s="1519"/>
      <c r="R244" s="1519"/>
      <c r="S244" s="1519"/>
      <c r="T244" s="1519"/>
      <c r="U244" s="1519"/>
      <c r="V244" s="1519"/>
      <c r="W244" s="1519"/>
      <c r="X244" s="1519"/>
      <c r="Y244" s="1519"/>
      <c r="Z244" s="1519"/>
      <c r="AA244" s="1519"/>
      <c r="AB244" s="1519"/>
      <c r="AC244" s="1519"/>
      <c r="AD244" s="1519"/>
      <c r="AE244" s="1519"/>
      <c r="AF244" s="1519"/>
      <c r="AG244" s="1519"/>
      <c r="AH244" s="1519"/>
      <c r="AI244" s="1519"/>
      <c r="AJ244" s="1519"/>
      <c r="AK244" s="1519"/>
      <c r="AL244" s="1519"/>
      <c r="AM244" s="1519"/>
      <c r="AN244" s="1519"/>
      <c r="AO244" s="1519"/>
      <c r="AP244" s="1519"/>
      <c r="AQ244" s="1519"/>
      <c r="AR244" s="1519"/>
      <c r="AS244" s="1519"/>
      <c r="AT244" s="1519"/>
      <c r="AU244" s="1519"/>
      <c r="AV244" s="1519"/>
      <c r="AW244" s="1519"/>
      <c r="AX244" s="1519"/>
      <c r="AY244" s="1519"/>
      <c r="AZ244" s="1519"/>
    </row>
    <row r="245" spans="2:52" ht="15" x14ac:dyDescent="0.2">
      <c r="B245" s="1515" t="s">
        <v>373</v>
      </c>
      <c r="C245" s="1518"/>
      <c r="D245" s="1517"/>
      <c r="E245" s="1517"/>
      <c r="F245" s="1518"/>
      <c r="G245" s="1517"/>
      <c r="H245" s="1517"/>
      <c r="I245" s="1519"/>
      <c r="J245" s="1519"/>
      <c r="K245" s="1519"/>
      <c r="L245" s="1519"/>
      <c r="M245" s="1519"/>
      <c r="N245" s="1519"/>
      <c r="O245" s="1519"/>
      <c r="P245" s="1519"/>
      <c r="Q245" s="1519"/>
      <c r="R245" s="1519"/>
      <c r="S245" s="1519"/>
      <c r="T245" s="1519"/>
      <c r="U245" s="1519"/>
      <c r="V245" s="1519"/>
      <c r="W245" s="1519"/>
      <c r="X245" s="1519"/>
      <c r="Y245" s="1519"/>
      <c r="Z245" s="1519"/>
      <c r="AA245" s="1519"/>
      <c r="AB245" s="1519"/>
      <c r="AC245" s="1519"/>
      <c r="AD245" s="1519"/>
      <c r="AE245" s="1519"/>
      <c r="AF245" s="1519"/>
      <c r="AG245" s="1519"/>
      <c r="AH245" s="1519"/>
      <c r="AI245" s="1519"/>
      <c r="AJ245" s="1519"/>
      <c r="AK245" s="1519"/>
      <c r="AL245" s="1519"/>
      <c r="AM245" s="1519"/>
      <c r="AN245" s="1519"/>
      <c r="AO245" s="1519"/>
      <c r="AP245" s="1519"/>
      <c r="AQ245" s="1519"/>
      <c r="AR245" s="1519"/>
      <c r="AS245" s="1519"/>
      <c r="AT245" s="1519"/>
      <c r="AU245" s="1519"/>
      <c r="AV245" s="1519"/>
      <c r="AW245" s="1519"/>
      <c r="AX245" s="1519"/>
      <c r="AY245" s="1519"/>
      <c r="AZ245" s="1519"/>
    </row>
    <row r="246" spans="2:52" ht="15" x14ac:dyDescent="0.2">
      <c r="B246" s="1515" t="s">
        <v>374</v>
      </c>
      <c r="C246" s="1518"/>
      <c r="D246" s="1517"/>
      <c r="E246" s="1517"/>
      <c r="F246" s="1518"/>
      <c r="G246" s="1517"/>
      <c r="H246" s="1517"/>
      <c r="I246" s="1519"/>
      <c r="J246" s="1519"/>
      <c r="K246" s="1519"/>
      <c r="L246" s="1519"/>
      <c r="M246" s="1519"/>
      <c r="N246" s="1519"/>
      <c r="O246" s="1519"/>
      <c r="P246" s="1519"/>
      <c r="Q246" s="1519"/>
      <c r="R246" s="1519"/>
      <c r="S246" s="1519"/>
      <c r="T246" s="1519"/>
      <c r="U246" s="1519"/>
      <c r="V246" s="1519"/>
      <c r="W246" s="1519"/>
      <c r="X246" s="1519"/>
      <c r="Y246" s="1519"/>
      <c r="Z246" s="1519"/>
      <c r="AA246" s="1519"/>
      <c r="AB246" s="1519"/>
      <c r="AC246" s="1519"/>
      <c r="AD246" s="1519"/>
      <c r="AE246" s="1519"/>
      <c r="AF246" s="1519"/>
      <c r="AG246" s="1519"/>
      <c r="AH246" s="1519"/>
      <c r="AI246" s="1519"/>
      <c r="AJ246" s="1519"/>
      <c r="AK246" s="1519"/>
      <c r="AL246" s="1519"/>
      <c r="AM246" s="1519"/>
      <c r="AN246" s="1519"/>
      <c r="AO246" s="1519"/>
      <c r="AP246" s="1519"/>
      <c r="AQ246" s="1519"/>
      <c r="AR246" s="1519"/>
      <c r="AS246" s="1519"/>
      <c r="AT246" s="1519"/>
      <c r="AU246" s="1519"/>
      <c r="AV246" s="1519"/>
      <c r="AW246" s="1519"/>
      <c r="AX246" s="1519"/>
      <c r="AY246" s="1519"/>
      <c r="AZ246" s="1519"/>
    </row>
    <row r="247" spans="2:52" ht="15" x14ac:dyDescent="0.2">
      <c r="B247" s="1515" t="s">
        <v>375</v>
      </c>
      <c r="C247" s="1518"/>
      <c r="D247" s="1517"/>
      <c r="E247" s="1517"/>
      <c r="F247" s="1518"/>
      <c r="G247" s="1517"/>
      <c r="H247" s="1517"/>
      <c r="I247" s="1519"/>
      <c r="J247" s="1519"/>
      <c r="K247" s="1519"/>
      <c r="L247" s="1519"/>
      <c r="M247" s="1519"/>
      <c r="N247" s="1519"/>
      <c r="O247" s="1519"/>
      <c r="P247" s="1519"/>
      <c r="Q247" s="1519"/>
      <c r="R247" s="1519"/>
      <c r="S247" s="1519"/>
      <c r="T247" s="1519"/>
      <c r="U247" s="1519"/>
      <c r="V247" s="1519"/>
      <c r="W247" s="1519"/>
      <c r="X247" s="1519"/>
      <c r="Y247" s="1519"/>
      <c r="Z247" s="1519"/>
      <c r="AA247" s="1519"/>
      <c r="AB247" s="1519"/>
      <c r="AC247" s="1519"/>
      <c r="AD247" s="1519"/>
      <c r="AE247" s="1519"/>
      <c r="AF247" s="1519"/>
      <c r="AG247" s="1519"/>
      <c r="AH247" s="1519"/>
      <c r="AI247" s="1519"/>
      <c r="AJ247" s="1519"/>
      <c r="AK247" s="1519"/>
      <c r="AL247" s="1519"/>
      <c r="AM247" s="1519"/>
      <c r="AN247" s="1519"/>
      <c r="AO247" s="1519"/>
      <c r="AP247" s="1519"/>
      <c r="AQ247" s="1519"/>
      <c r="AR247" s="1519"/>
      <c r="AS247" s="1519"/>
      <c r="AT247" s="1519"/>
      <c r="AU247" s="1519"/>
      <c r="AV247" s="1519"/>
      <c r="AW247" s="1519"/>
      <c r="AX247" s="1519"/>
      <c r="AY247" s="1519"/>
      <c r="AZ247" s="1519"/>
    </row>
    <row r="248" spans="2:52" ht="15" x14ac:dyDescent="0.2">
      <c r="B248" s="1515" t="s">
        <v>376</v>
      </c>
      <c r="C248" s="1518"/>
      <c r="D248" s="1517"/>
      <c r="E248" s="1517"/>
      <c r="F248" s="1518"/>
      <c r="G248" s="1517"/>
      <c r="H248" s="1517"/>
      <c r="I248" s="1519"/>
      <c r="J248" s="1519"/>
      <c r="K248" s="1519"/>
      <c r="L248" s="1519"/>
      <c r="M248" s="1519"/>
      <c r="N248" s="1519"/>
      <c r="O248" s="1519"/>
      <c r="P248" s="1519"/>
      <c r="Q248" s="1519"/>
      <c r="R248" s="1519"/>
      <c r="S248" s="1519"/>
      <c r="T248" s="1519"/>
      <c r="U248" s="1519"/>
      <c r="V248" s="1519"/>
      <c r="W248" s="1519"/>
      <c r="X248" s="1519"/>
      <c r="Y248" s="1519"/>
      <c r="Z248" s="1519"/>
      <c r="AA248" s="1519"/>
      <c r="AB248" s="1519"/>
      <c r="AC248" s="1519"/>
      <c r="AD248" s="1519"/>
      <c r="AE248" s="1519"/>
      <c r="AF248" s="1519"/>
      <c r="AG248" s="1519"/>
      <c r="AH248" s="1519"/>
      <c r="AI248" s="1519"/>
      <c r="AJ248" s="1519"/>
      <c r="AK248" s="1519"/>
      <c r="AL248" s="1519"/>
      <c r="AM248" s="1519"/>
      <c r="AN248" s="1519"/>
      <c r="AO248" s="1519"/>
      <c r="AP248" s="1519"/>
      <c r="AQ248" s="1519"/>
      <c r="AR248" s="1519"/>
      <c r="AS248" s="1519"/>
      <c r="AT248" s="1519"/>
      <c r="AU248" s="1519"/>
      <c r="AV248" s="1519"/>
      <c r="AW248" s="1519"/>
      <c r="AX248" s="1519"/>
      <c r="AY248" s="1519"/>
      <c r="AZ248" s="1519"/>
    </row>
    <row r="249" spans="2:52" ht="15" x14ac:dyDescent="0.2">
      <c r="B249" s="1515" t="s">
        <v>377</v>
      </c>
      <c r="C249" s="1518"/>
      <c r="D249" s="1517"/>
      <c r="E249" s="1517"/>
      <c r="F249" s="1518"/>
      <c r="G249" s="1517"/>
      <c r="H249" s="1517"/>
      <c r="I249" s="1519"/>
      <c r="J249" s="1519"/>
      <c r="K249" s="1519"/>
      <c r="L249" s="1519"/>
      <c r="M249" s="1519"/>
      <c r="N249" s="1519"/>
      <c r="O249" s="1519"/>
      <c r="P249" s="1519"/>
      <c r="Q249" s="1519"/>
      <c r="R249" s="1519"/>
      <c r="S249" s="1519"/>
      <c r="T249" s="1519"/>
      <c r="U249" s="1519"/>
      <c r="V249" s="1519"/>
      <c r="W249" s="1519"/>
      <c r="X249" s="1519"/>
      <c r="Y249" s="1519"/>
      <c r="Z249" s="1519"/>
      <c r="AA249" s="1519"/>
      <c r="AB249" s="1519"/>
      <c r="AC249" s="1519"/>
      <c r="AD249" s="1519"/>
      <c r="AE249" s="1519"/>
      <c r="AF249" s="1519"/>
      <c r="AG249" s="1519"/>
      <c r="AH249" s="1519"/>
      <c r="AI249" s="1519"/>
      <c r="AJ249" s="1519"/>
      <c r="AK249" s="1519"/>
      <c r="AL249" s="1519"/>
      <c r="AM249" s="1519"/>
      <c r="AN249" s="1519"/>
      <c r="AO249" s="1519"/>
      <c r="AP249" s="1519"/>
      <c r="AQ249" s="1519"/>
      <c r="AR249" s="1519"/>
      <c r="AS249" s="1519"/>
      <c r="AT249" s="1519"/>
      <c r="AU249" s="1519"/>
      <c r="AV249" s="1519"/>
      <c r="AW249" s="1519"/>
      <c r="AX249" s="1519"/>
      <c r="AY249" s="1519"/>
      <c r="AZ249" s="1519"/>
    </row>
    <row r="250" spans="2:52" ht="15" x14ac:dyDescent="0.2">
      <c r="B250" s="1515" t="s">
        <v>378</v>
      </c>
      <c r="C250" s="1518"/>
      <c r="D250" s="1517"/>
      <c r="E250" s="1517"/>
      <c r="F250" s="1518"/>
      <c r="G250" s="1517"/>
      <c r="H250" s="1517"/>
      <c r="I250" s="1519"/>
      <c r="J250" s="1519"/>
      <c r="K250" s="1519"/>
      <c r="L250" s="1519"/>
      <c r="M250" s="1519"/>
      <c r="N250" s="1519"/>
      <c r="O250" s="1519"/>
      <c r="P250" s="1519"/>
      <c r="Q250" s="1519"/>
      <c r="R250" s="1519"/>
      <c r="S250" s="1519"/>
      <c r="T250" s="1519"/>
      <c r="U250" s="1519"/>
      <c r="V250" s="1519"/>
      <c r="W250" s="1519"/>
      <c r="X250" s="1519"/>
      <c r="Y250" s="1519"/>
      <c r="Z250" s="1519"/>
      <c r="AA250" s="1519"/>
      <c r="AB250" s="1519"/>
      <c r="AC250" s="1519"/>
      <c r="AD250" s="1519"/>
      <c r="AE250" s="1519"/>
      <c r="AF250" s="1519"/>
      <c r="AG250" s="1519"/>
      <c r="AH250" s="1519"/>
      <c r="AI250" s="1519"/>
      <c r="AJ250" s="1519"/>
      <c r="AK250" s="1519"/>
      <c r="AL250" s="1519"/>
      <c r="AM250" s="1519"/>
      <c r="AN250" s="1519"/>
      <c r="AO250" s="1519"/>
      <c r="AP250" s="1519"/>
      <c r="AQ250" s="1519"/>
      <c r="AR250" s="1519"/>
      <c r="AS250" s="1519"/>
      <c r="AT250" s="1519"/>
      <c r="AU250" s="1519"/>
      <c r="AV250" s="1519"/>
      <c r="AW250" s="1519"/>
      <c r="AX250" s="1519"/>
      <c r="AY250" s="1519"/>
      <c r="AZ250" s="1519"/>
    </row>
  </sheetData>
  <mergeCells count="11">
    <mergeCell ref="BZ3:CA3"/>
    <mergeCell ref="A24:B24"/>
    <mergeCell ref="D24:E24"/>
    <mergeCell ref="A25:B25"/>
    <mergeCell ref="D25:E25"/>
    <mergeCell ref="E30:F30"/>
    <mergeCell ref="B58:G58"/>
    <mergeCell ref="B63:G63"/>
    <mergeCell ref="B67:F67"/>
    <mergeCell ref="P1:T1"/>
    <mergeCell ref="J3:M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95"/>
  <sheetViews>
    <sheetView showZeros="0" view="pageBreakPreview" zoomScale="55" zoomScaleNormal="100" zoomScaleSheetLayoutView="55" workbookViewId="0">
      <selection activeCell="A56" sqref="A56"/>
    </sheetView>
  </sheetViews>
  <sheetFormatPr defaultRowHeight="12.75" x14ac:dyDescent="0.2"/>
  <cols>
    <col min="1" max="1" width="15.85546875" style="1798" customWidth="1"/>
    <col min="2" max="2" width="46.7109375" style="1798" customWidth="1"/>
    <col min="3" max="3" width="11" style="1798" customWidth="1"/>
    <col min="4" max="7" width="11.28515625" style="1798" customWidth="1"/>
    <col min="8" max="8" width="12.42578125" style="1798" customWidth="1"/>
    <col min="9" max="10" width="11.85546875" style="1798" customWidth="1"/>
    <col min="11" max="11" width="11" style="1798" customWidth="1"/>
    <col min="12" max="12" width="12.28515625" style="1798" customWidth="1"/>
    <col min="13" max="13" width="12" style="1798" customWidth="1"/>
    <col min="14" max="14" width="10.7109375" style="1798" customWidth="1"/>
    <col min="15" max="15" width="11.5703125" style="1798" customWidth="1"/>
    <col min="16" max="16" width="11.42578125" style="1798" customWidth="1"/>
    <col min="17" max="17" width="10.5703125" style="1798" customWidth="1"/>
    <col min="18" max="18" width="12.28515625" style="1798" customWidth="1"/>
    <col min="19" max="19" width="13.140625" style="1798" customWidth="1"/>
    <col min="20" max="20" width="10.7109375" style="1798" customWidth="1"/>
    <col min="21" max="21" width="11.42578125" style="1798" customWidth="1"/>
    <col min="22" max="22" width="11.28515625" style="1798" customWidth="1"/>
    <col min="23" max="23" width="11.42578125" style="1798" customWidth="1"/>
    <col min="24" max="24" width="11.7109375" style="1798" customWidth="1"/>
    <col min="25" max="25" width="11.5703125" style="1798" customWidth="1"/>
    <col min="26" max="26" width="11.28515625" style="1798" customWidth="1"/>
    <col min="27" max="28" width="12.5703125" style="1798" customWidth="1"/>
    <col min="29" max="29" width="10.85546875" style="1798" customWidth="1"/>
    <col min="30" max="30" width="11.5703125" style="1798" customWidth="1"/>
    <col min="31" max="31" width="12.5703125" style="1798" customWidth="1"/>
    <col min="32" max="32" width="11.85546875" style="1798" customWidth="1"/>
    <col min="33" max="33" width="12.28515625" style="1798" customWidth="1"/>
    <col min="34" max="34" width="10.7109375" style="1798" customWidth="1"/>
    <col min="35" max="35" width="11.7109375" style="1798" customWidth="1"/>
    <col min="36" max="37" width="12.85546875" style="1798" customWidth="1"/>
    <col min="38" max="38" width="12" style="1798" customWidth="1"/>
    <col min="39" max="39" width="11.5703125" style="1798" customWidth="1"/>
    <col min="40" max="40" width="10.85546875" style="1798" customWidth="1"/>
    <col min="41" max="41" width="11.5703125" style="1798" customWidth="1"/>
    <col min="42" max="42" width="11.42578125" style="1798" customWidth="1"/>
    <col min="43" max="43" width="11.28515625" style="1798" customWidth="1"/>
    <col min="44" max="44" width="11.140625" style="382" customWidth="1"/>
    <col min="45" max="45" width="12.140625" style="474" bestFit="1" customWidth="1"/>
    <col min="46" max="46" width="10.140625" style="474" bestFit="1" customWidth="1"/>
    <col min="47" max="47" width="11.5703125" style="474" customWidth="1"/>
    <col min="48" max="48" width="9.140625" style="474"/>
    <col min="49" max="16384" width="9.140625" style="382"/>
  </cols>
  <sheetData>
    <row r="1" spans="1:48" ht="26.25" customHeight="1" x14ac:dyDescent="0.3">
      <c r="AQ1" s="1799" t="s">
        <v>396</v>
      </c>
    </row>
    <row r="2" spans="1:48" ht="26.25" customHeight="1" x14ac:dyDescent="0.2">
      <c r="I2" s="1800"/>
      <c r="J2" s="1800"/>
      <c r="K2" s="1800"/>
      <c r="L2" s="1800"/>
      <c r="M2" s="1800"/>
      <c r="N2" s="1800"/>
      <c r="O2" s="1800"/>
      <c r="P2" s="1800"/>
      <c r="Q2" s="1800"/>
      <c r="R2" s="1800"/>
      <c r="S2" s="1800"/>
      <c r="T2" s="1800"/>
      <c r="U2" s="1800"/>
      <c r="V2" s="1800"/>
      <c r="W2" s="1800"/>
      <c r="X2" s="1800"/>
      <c r="Y2" s="1800"/>
      <c r="Z2" s="1800"/>
      <c r="AA2" s="1800"/>
      <c r="AB2" s="1800"/>
      <c r="AC2" s="1800"/>
      <c r="AD2" s="1800"/>
      <c r="AE2" s="1800"/>
      <c r="AF2" s="1800"/>
      <c r="AG2" s="1800"/>
      <c r="AH2" s="1800"/>
      <c r="AI2" s="1800"/>
      <c r="AJ2" s="1800"/>
      <c r="AK2" s="1800"/>
      <c r="AL2" s="1800"/>
      <c r="AM2" s="1800"/>
      <c r="AN2" s="1800"/>
      <c r="AO2" s="1800"/>
      <c r="AP2" s="1800"/>
      <c r="AQ2" s="1800"/>
    </row>
    <row r="3" spans="1:48" ht="22.5" customHeight="1" x14ac:dyDescent="0.2">
      <c r="I3" s="1800"/>
      <c r="J3" s="1800"/>
      <c r="K3" s="1800"/>
      <c r="L3" s="1800"/>
      <c r="M3" s="1800"/>
      <c r="N3" s="1800"/>
      <c r="O3" s="1800"/>
      <c r="P3" s="1800"/>
      <c r="Q3" s="1800"/>
      <c r="R3" s="1800"/>
      <c r="S3" s="1800"/>
      <c r="T3" s="1800"/>
      <c r="U3" s="1800"/>
      <c r="V3" s="1800"/>
      <c r="W3" s="1800"/>
      <c r="X3" s="1800"/>
      <c r="Y3" s="1800"/>
      <c r="Z3" s="1800"/>
      <c r="AA3" s="1800"/>
      <c r="AB3" s="1800"/>
      <c r="AC3" s="1800"/>
      <c r="AD3" s="1800"/>
      <c r="AE3" s="1800"/>
      <c r="AF3" s="1800"/>
      <c r="AG3" s="1800"/>
      <c r="AH3" s="1800"/>
      <c r="AI3" s="1800"/>
      <c r="AJ3" s="1800"/>
      <c r="AK3" s="1800"/>
      <c r="AL3" s="1800"/>
      <c r="AM3" s="1800"/>
      <c r="AN3" s="1800"/>
      <c r="AO3" s="1800"/>
      <c r="AP3" s="1800"/>
      <c r="AQ3" s="1800"/>
    </row>
    <row r="4" spans="1:48" s="230" customFormat="1" ht="34.5" customHeight="1" x14ac:dyDescent="0.25">
      <c r="A4" s="2550" t="s">
        <v>397</v>
      </c>
      <c r="B4" s="2550"/>
      <c r="C4" s="2550"/>
      <c r="D4" s="2550"/>
      <c r="E4" s="2550"/>
      <c r="F4" s="2550"/>
      <c r="G4" s="2550"/>
      <c r="H4" s="2550"/>
      <c r="I4" s="2550"/>
      <c r="J4" s="2550"/>
      <c r="K4" s="2550"/>
      <c r="L4" s="2550"/>
      <c r="M4" s="2550"/>
      <c r="N4" s="2550"/>
      <c r="O4" s="2550"/>
      <c r="P4" s="2550"/>
      <c r="Q4" s="2550"/>
      <c r="R4" s="2550"/>
      <c r="S4" s="2550"/>
      <c r="T4" s="2550"/>
      <c r="U4" s="2550"/>
      <c r="V4" s="2550"/>
      <c r="W4" s="2550"/>
      <c r="X4" s="2550"/>
      <c r="Y4" s="2550"/>
      <c r="Z4" s="2550"/>
      <c r="AA4" s="2550"/>
      <c r="AB4" s="2550"/>
      <c r="AC4" s="2550"/>
      <c r="AD4" s="2550"/>
      <c r="AE4" s="2550"/>
      <c r="AF4" s="2550"/>
      <c r="AG4" s="2550"/>
      <c r="AH4" s="2550"/>
      <c r="AI4" s="2550"/>
      <c r="AJ4" s="2550"/>
      <c r="AK4" s="2550"/>
      <c r="AL4" s="2550"/>
      <c r="AM4" s="2550"/>
      <c r="AN4" s="2550"/>
      <c r="AO4" s="2550"/>
      <c r="AP4" s="2550"/>
      <c r="AQ4" s="2550"/>
      <c r="AS4" s="231"/>
      <c r="AT4" s="231"/>
      <c r="AU4" s="231"/>
      <c r="AV4" s="231"/>
    </row>
    <row r="5" spans="1:48" s="239" customFormat="1" ht="36" customHeight="1" thickBot="1" x14ac:dyDescent="0.35">
      <c r="A5" s="626"/>
      <c r="B5" s="1801"/>
      <c r="C5" s="1801"/>
      <c r="D5" s="1801"/>
      <c r="E5" s="1801"/>
      <c r="F5" s="1802"/>
      <c r="G5" s="1801"/>
      <c r="H5" s="1803"/>
      <c r="I5" s="1804"/>
      <c r="J5" s="1804"/>
      <c r="K5" s="1804"/>
      <c r="L5" s="1804"/>
      <c r="M5" s="1804"/>
      <c r="N5" s="1804"/>
      <c r="O5" s="1804"/>
      <c r="P5" s="1804"/>
      <c r="Q5" s="1804"/>
      <c r="R5" s="1804"/>
      <c r="S5" s="1804"/>
      <c r="T5" s="1804"/>
      <c r="U5" s="1804"/>
      <c r="V5" s="1804"/>
      <c r="W5" s="1804"/>
      <c r="X5" s="1804"/>
      <c r="Y5" s="1804"/>
      <c r="Z5" s="1804"/>
      <c r="AA5" s="1804"/>
      <c r="AB5" s="1804"/>
      <c r="AC5" s="1804"/>
      <c r="AD5" s="1804"/>
      <c r="AE5" s="1804"/>
      <c r="AF5" s="1804"/>
      <c r="AG5" s="1804"/>
      <c r="AH5" s="1804"/>
      <c r="AI5" s="1804"/>
      <c r="AJ5" s="1804"/>
      <c r="AK5" s="1804"/>
      <c r="AL5" s="1804"/>
      <c r="AM5" s="1799" t="s">
        <v>3</v>
      </c>
      <c r="AN5" s="2551">
        <v>45644</v>
      </c>
      <c r="AO5" s="2551"/>
      <c r="AP5" s="2551"/>
      <c r="AQ5" s="2551"/>
      <c r="AS5" s="238"/>
      <c r="AT5" s="238"/>
      <c r="AU5" s="238"/>
      <c r="AV5" s="238"/>
    </row>
    <row r="6" spans="1:48" s="239" customFormat="1" ht="31.5" customHeight="1" thickBot="1" x14ac:dyDescent="0.3">
      <c r="A6" s="2534" t="s">
        <v>12</v>
      </c>
      <c r="B6" s="2535"/>
      <c r="C6" s="2535"/>
      <c r="D6" s="2535"/>
      <c r="E6" s="2535"/>
      <c r="F6" s="2535"/>
      <c r="G6" s="2536"/>
      <c r="H6" s="2518" t="s">
        <v>67</v>
      </c>
      <c r="I6" s="2519"/>
      <c r="J6" s="2520"/>
      <c r="K6" s="2518" t="s">
        <v>68</v>
      </c>
      <c r="L6" s="2519"/>
      <c r="M6" s="2520"/>
      <c r="N6" s="2518" t="s">
        <v>69</v>
      </c>
      <c r="O6" s="2519"/>
      <c r="P6" s="2520"/>
      <c r="Q6" s="2518" t="s">
        <v>70</v>
      </c>
      <c r="R6" s="2519"/>
      <c r="S6" s="2520"/>
      <c r="T6" s="2518" t="s">
        <v>71</v>
      </c>
      <c r="U6" s="2519"/>
      <c r="V6" s="2520"/>
      <c r="W6" s="2518" t="s">
        <v>72</v>
      </c>
      <c r="X6" s="2519"/>
      <c r="Y6" s="2520"/>
      <c r="Z6" s="2518" t="s">
        <v>73</v>
      </c>
      <c r="AA6" s="2519"/>
      <c r="AB6" s="2520"/>
      <c r="AC6" s="2518" t="s">
        <v>74</v>
      </c>
      <c r="AD6" s="2519"/>
      <c r="AE6" s="2520"/>
      <c r="AF6" s="2518" t="s">
        <v>75</v>
      </c>
      <c r="AG6" s="2519"/>
      <c r="AH6" s="2520"/>
      <c r="AI6" s="2518" t="s">
        <v>76</v>
      </c>
      <c r="AJ6" s="2519"/>
      <c r="AK6" s="2520"/>
      <c r="AL6" s="2518" t="s">
        <v>77</v>
      </c>
      <c r="AM6" s="2519"/>
      <c r="AN6" s="2520"/>
      <c r="AO6" s="2518" t="s">
        <v>78</v>
      </c>
      <c r="AP6" s="2519"/>
      <c r="AQ6" s="2520"/>
      <c r="AS6" s="238"/>
      <c r="AT6" s="238"/>
      <c r="AU6" s="238"/>
      <c r="AV6" s="238"/>
    </row>
    <row r="7" spans="1:48" s="239" customFormat="1" ht="21" customHeight="1" x14ac:dyDescent="0.25">
      <c r="A7" s="2521" t="s">
        <v>79</v>
      </c>
      <c r="B7" s="2522"/>
      <c r="C7" s="2525" t="s">
        <v>80</v>
      </c>
      <c r="D7" s="2527"/>
      <c r="E7" s="2528"/>
      <c r="F7" s="2528"/>
      <c r="G7" s="2529"/>
      <c r="H7" s="1805" t="s">
        <v>4</v>
      </c>
      <c r="I7" s="1806" t="s">
        <v>9</v>
      </c>
      <c r="J7" s="1807" t="s">
        <v>10</v>
      </c>
      <c r="K7" s="1805" t="s">
        <v>4</v>
      </c>
      <c r="L7" s="1806" t="s">
        <v>9</v>
      </c>
      <c r="M7" s="1807" t="s">
        <v>10</v>
      </c>
      <c r="N7" s="1808" t="s">
        <v>4</v>
      </c>
      <c r="O7" s="1809" t="s">
        <v>9</v>
      </c>
      <c r="P7" s="1810" t="s">
        <v>10</v>
      </c>
      <c r="Q7" s="1808" t="s">
        <v>4</v>
      </c>
      <c r="R7" s="1809" t="s">
        <v>9</v>
      </c>
      <c r="S7" s="1810" t="s">
        <v>10</v>
      </c>
      <c r="T7" s="1808" t="s">
        <v>4</v>
      </c>
      <c r="U7" s="1809" t="s">
        <v>9</v>
      </c>
      <c r="V7" s="1810" t="s">
        <v>10</v>
      </c>
      <c r="W7" s="1808" t="s">
        <v>4</v>
      </c>
      <c r="X7" s="1809" t="s">
        <v>9</v>
      </c>
      <c r="Y7" s="1810" t="s">
        <v>10</v>
      </c>
      <c r="Z7" s="1808" t="s">
        <v>4</v>
      </c>
      <c r="AA7" s="1809" t="s">
        <v>9</v>
      </c>
      <c r="AB7" s="1810" t="s">
        <v>10</v>
      </c>
      <c r="AC7" s="1808" t="s">
        <v>4</v>
      </c>
      <c r="AD7" s="1809" t="s">
        <v>9</v>
      </c>
      <c r="AE7" s="1810" t="s">
        <v>10</v>
      </c>
      <c r="AF7" s="1808" t="s">
        <v>4</v>
      </c>
      <c r="AG7" s="1809" t="s">
        <v>9</v>
      </c>
      <c r="AH7" s="1810" t="s">
        <v>10</v>
      </c>
      <c r="AI7" s="1808" t="s">
        <v>4</v>
      </c>
      <c r="AJ7" s="1809" t="s">
        <v>9</v>
      </c>
      <c r="AK7" s="1810" t="s">
        <v>10</v>
      </c>
      <c r="AL7" s="1808" t="s">
        <v>4</v>
      </c>
      <c r="AM7" s="1809" t="s">
        <v>9</v>
      </c>
      <c r="AN7" s="1810" t="s">
        <v>10</v>
      </c>
      <c r="AO7" s="1808" t="s">
        <v>4</v>
      </c>
      <c r="AP7" s="1809" t="s">
        <v>9</v>
      </c>
      <c r="AQ7" s="1810" t="s">
        <v>10</v>
      </c>
      <c r="AS7" s="238"/>
      <c r="AT7" s="238"/>
      <c r="AU7" s="238"/>
      <c r="AV7" s="238"/>
    </row>
    <row r="8" spans="1:48" s="239" customFormat="1" ht="21" customHeight="1" thickBot="1" x14ac:dyDescent="0.3">
      <c r="A8" s="2523"/>
      <c r="B8" s="2524"/>
      <c r="C8" s="2526"/>
      <c r="D8" s="2530"/>
      <c r="E8" s="2531"/>
      <c r="F8" s="2531"/>
      <c r="G8" s="2532"/>
      <c r="H8" s="1811" t="s">
        <v>30</v>
      </c>
      <c r="I8" s="1812" t="s">
        <v>31</v>
      </c>
      <c r="J8" s="1813" t="s">
        <v>32</v>
      </c>
      <c r="K8" s="1811" t="s">
        <v>30</v>
      </c>
      <c r="L8" s="1812" t="s">
        <v>31</v>
      </c>
      <c r="M8" s="1813" t="s">
        <v>32</v>
      </c>
      <c r="N8" s="1814" t="s">
        <v>30</v>
      </c>
      <c r="O8" s="1815" t="s">
        <v>31</v>
      </c>
      <c r="P8" s="1816" t="s">
        <v>32</v>
      </c>
      <c r="Q8" s="1814" t="s">
        <v>30</v>
      </c>
      <c r="R8" s="1815" t="s">
        <v>31</v>
      </c>
      <c r="S8" s="1816" t="s">
        <v>32</v>
      </c>
      <c r="T8" s="1814" t="s">
        <v>30</v>
      </c>
      <c r="U8" s="1815" t="s">
        <v>31</v>
      </c>
      <c r="V8" s="1816" t="s">
        <v>32</v>
      </c>
      <c r="W8" s="1814" t="s">
        <v>30</v>
      </c>
      <c r="X8" s="1815" t="s">
        <v>31</v>
      </c>
      <c r="Y8" s="1816" t="s">
        <v>32</v>
      </c>
      <c r="Z8" s="1814" t="s">
        <v>30</v>
      </c>
      <c r="AA8" s="1815" t="s">
        <v>31</v>
      </c>
      <c r="AB8" s="1816" t="s">
        <v>32</v>
      </c>
      <c r="AC8" s="1814" t="s">
        <v>30</v>
      </c>
      <c r="AD8" s="1815" t="s">
        <v>31</v>
      </c>
      <c r="AE8" s="1816" t="s">
        <v>32</v>
      </c>
      <c r="AF8" s="1814" t="s">
        <v>30</v>
      </c>
      <c r="AG8" s="1815" t="s">
        <v>31</v>
      </c>
      <c r="AH8" s="1816" t="s">
        <v>32</v>
      </c>
      <c r="AI8" s="1814" t="s">
        <v>30</v>
      </c>
      <c r="AJ8" s="1815" t="s">
        <v>31</v>
      </c>
      <c r="AK8" s="1816" t="s">
        <v>32</v>
      </c>
      <c r="AL8" s="1814" t="s">
        <v>30</v>
      </c>
      <c r="AM8" s="1815" t="s">
        <v>31</v>
      </c>
      <c r="AN8" s="1816" t="s">
        <v>32</v>
      </c>
      <c r="AO8" s="1814" t="s">
        <v>30</v>
      </c>
      <c r="AP8" s="1815" t="s">
        <v>31</v>
      </c>
      <c r="AQ8" s="1816" t="s">
        <v>32</v>
      </c>
      <c r="AS8" s="238"/>
      <c r="AT8" s="238"/>
      <c r="AU8" s="238"/>
      <c r="AV8" s="238"/>
    </row>
    <row r="9" spans="1:48" s="230" customFormat="1" ht="18.75" customHeight="1" x14ac:dyDescent="0.25">
      <c r="A9" s="2507" t="s">
        <v>0</v>
      </c>
      <c r="B9" s="2199"/>
      <c r="C9" s="2441">
        <v>40</v>
      </c>
      <c r="D9" s="2509" t="s">
        <v>13</v>
      </c>
      <c r="E9" s="2510"/>
      <c r="F9" s="2202" t="s">
        <v>81</v>
      </c>
      <c r="G9" s="2203"/>
      <c r="H9" s="1817">
        <f>SQRT(I9^2+J9^2)*1000/(SQRT(3)*H13)</f>
        <v>30.651141889288471</v>
      </c>
      <c r="I9" s="1818">
        <v>6.2172000000000009</v>
      </c>
      <c r="J9" s="1819">
        <v>1.1220000000000001</v>
      </c>
      <c r="K9" s="1817">
        <f>SQRT(L9^2+M9^2)*1000/(SQRT(3)*K13)</f>
        <v>29.090572446550265</v>
      </c>
      <c r="L9" s="1818">
        <v>5.8937999999999997</v>
      </c>
      <c r="M9" s="1819">
        <v>1.1021999999999998</v>
      </c>
      <c r="N9" s="1817">
        <f>SQRT(O9^2+P9^2)*1000/(SQRT(3)*N13)</f>
        <v>28.310136104024185</v>
      </c>
      <c r="O9" s="1818">
        <v>5.7287999999999997</v>
      </c>
      <c r="P9" s="1819">
        <v>1.1088</v>
      </c>
      <c r="Q9" s="1817">
        <f>SQRT(R9^2+S9^2)*1000/(SQRT(3)*Q13)</f>
        <v>27.95825946472981</v>
      </c>
      <c r="R9" s="1818">
        <v>5.6562000000000001</v>
      </c>
      <c r="S9" s="1819">
        <v>1.1021999999999998</v>
      </c>
      <c r="T9" s="1817">
        <f>SQRT(U9^2+V9^2)*1000/(SQRT(3)*T13)</f>
        <v>28.278699080639889</v>
      </c>
      <c r="U9" s="1818">
        <v>5.7222</v>
      </c>
      <c r="V9" s="1819">
        <v>1.1088</v>
      </c>
      <c r="W9" s="1817">
        <f>SQRT(X9^2+Y9^2)*1000/(SQRT(3)*W13)</f>
        <v>30.095752846254104</v>
      </c>
      <c r="X9" s="1818">
        <v>6.0983999999999998</v>
      </c>
      <c r="Y9" s="1819">
        <v>1.1352</v>
      </c>
      <c r="Z9" s="1817">
        <f>SQRT(AA9^2+AB9^2)*1000/(SQRT(3)*Z13)</f>
        <v>34.486078529103807</v>
      </c>
      <c r="AA9" s="1818">
        <v>7.0091999999999999</v>
      </c>
      <c r="AB9" s="1819">
        <v>1.1814</v>
      </c>
      <c r="AC9" s="1817">
        <f>SQRT(AD9^2+AE9^2)*1000/(SQRT(3)*AC13)</f>
        <v>38.771161560068052</v>
      </c>
      <c r="AD9" s="1818">
        <v>7.8803999999999998</v>
      </c>
      <c r="AE9" s="1819">
        <v>1.3266</v>
      </c>
      <c r="AF9" s="1817">
        <f>SQRT(AG9^2+AH9^2)*1000/(SQRT(3)*AF13)</f>
        <v>42.050785823531619</v>
      </c>
      <c r="AG9" s="1818">
        <v>8.5470000000000006</v>
      </c>
      <c r="AH9" s="1819">
        <v>1.4387999999999999</v>
      </c>
      <c r="AI9" s="1817">
        <f>SQRT(AJ9^2+AK9^2)*1000/(SQRT(3)*AI13)</f>
        <v>44.893421231017548</v>
      </c>
      <c r="AJ9" s="1818">
        <v>9.1277999999999988</v>
      </c>
      <c r="AK9" s="1819">
        <v>1.518</v>
      </c>
      <c r="AL9" s="1817">
        <f>SQRT(AM9^2+AN9^2)*1000/(SQRT(3)*AL13)</f>
        <v>46.493765764083889</v>
      </c>
      <c r="AM9" s="1818">
        <v>9.4512</v>
      </c>
      <c r="AN9" s="1819">
        <v>1.5840000000000001</v>
      </c>
      <c r="AO9" s="1817">
        <f>SQRT(AP9^2+AQ9^2)*1000/(SQRT(3)*AO13)</f>
        <v>47.646643811273371</v>
      </c>
      <c r="AP9" s="1818">
        <v>9.6887999999999987</v>
      </c>
      <c r="AQ9" s="1819">
        <v>1.6037999999999999</v>
      </c>
      <c r="AR9" s="284"/>
      <c r="AS9" s="393"/>
      <c r="AT9" s="480"/>
      <c r="AU9" s="480"/>
      <c r="AV9" s="231"/>
    </row>
    <row r="10" spans="1:48" s="230" customFormat="1" ht="18.75" customHeight="1" x14ac:dyDescent="0.25">
      <c r="A10" s="2508"/>
      <c r="B10" s="2483"/>
      <c r="C10" s="2442"/>
      <c r="D10" s="2511"/>
      <c r="E10" s="2512"/>
      <c r="F10" s="2487" t="s">
        <v>82</v>
      </c>
      <c r="G10" s="2488"/>
      <c r="H10" s="1820">
        <f>SQRT(I10^2+J10^2)*1000/(SQRT(3)*H14)</f>
        <v>161.1866287911281</v>
      </c>
      <c r="I10" s="1821">
        <v>2.8109999999999999</v>
      </c>
      <c r="J10" s="1822">
        <v>0.222</v>
      </c>
      <c r="K10" s="1820">
        <f>SQRT(L10^2+M10^2)*1000/(SQRT(3)*K14)</f>
        <v>148.89555166411864</v>
      </c>
      <c r="L10" s="1821">
        <v>2.5950000000000002</v>
      </c>
      <c r="M10" s="1822">
        <v>0.22500000000000001</v>
      </c>
      <c r="N10" s="1820">
        <f>SQRT(O10^2+P10^2)*1000/(SQRT(3)*N14)</f>
        <v>142.93230618909806</v>
      </c>
      <c r="O10" s="1821">
        <v>2.4900000000000002</v>
      </c>
      <c r="P10" s="1822">
        <v>0.22800000000000001</v>
      </c>
      <c r="Q10" s="1820">
        <f>SQRT(R10^2+S10^2)*1000/(SQRT(3)*Q14)</f>
        <v>139.48551959064784</v>
      </c>
      <c r="R10" s="1821">
        <v>2.4300000000000002</v>
      </c>
      <c r="S10" s="1822">
        <v>0.222</v>
      </c>
      <c r="T10" s="1820">
        <f>SQRT(U10^2+V10^2)*1000/(SQRT(3)*T14)</f>
        <v>141.30426533693716</v>
      </c>
      <c r="U10" s="1821">
        <v>2.4630000000000001</v>
      </c>
      <c r="V10" s="1822">
        <v>0.21</v>
      </c>
      <c r="W10" s="1820">
        <f>SQRT(X10^2+Y10^2)*1000/(SQRT(3)*W14)</f>
        <v>153.97956010746728</v>
      </c>
      <c r="X10" s="1821">
        <v>2.6850000000000001</v>
      </c>
      <c r="Y10" s="1822">
        <v>0.216</v>
      </c>
      <c r="Z10" s="1820">
        <f>SQRT(AA10^2+AB10^2)*1000/(SQRT(3)*Z14)</f>
        <v>186.48750744302038</v>
      </c>
      <c r="AA10" s="1821">
        <v>3.2549999999999999</v>
      </c>
      <c r="AB10" s="1822">
        <v>0.219</v>
      </c>
      <c r="AC10" s="1820">
        <f>SQRT(AD10^2+AE10^2)*1000/(SQRT(3)*AC14)</f>
        <v>209.77399016164617</v>
      </c>
      <c r="AD10" s="1821">
        <v>3.66</v>
      </c>
      <c r="AE10" s="1822">
        <v>0.26700000000000002</v>
      </c>
      <c r="AF10" s="1820">
        <f>SQRT(AG10^2+AH10^2)*1000/(SQRT(3)*AF14)</f>
        <v>226.20822219419009</v>
      </c>
      <c r="AG10" s="1821">
        <v>3.948</v>
      </c>
      <c r="AH10" s="1822">
        <v>0.27</v>
      </c>
      <c r="AI10" s="1820">
        <f>SQRT(AJ10^2+AK10^2)*1000/(SQRT(3)*AI14)</f>
        <v>246.29625835111082</v>
      </c>
      <c r="AJ10" s="1821">
        <v>4.2990000000000004</v>
      </c>
      <c r="AK10" s="1822">
        <v>0.28799999999999998</v>
      </c>
      <c r="AL10" s="1820">
        <f>SQRT(AM10^2+AN10^2)*1000/(SQRT(3)*AL14)</f>
        <v>258.85589026390954</v>
      </c>
      <c r="AM10" s="1821">
        <v>4.5179999999999998</v>
      </c>
      <c r="AN10" s="1822">
        <v>0.30599999999999999</v>
      </c>
      <c r="AO10" s="1820">
        <f>SQRT(AP10^2+AQ10^2)*1000/(SQRT(3)*AO14)</f>
        <v>271.10910542511743</v>
      </c>
      <c r="AP10" s="1821">
        <v>4.7309999999999999</v>
      </c>
      <c r="AQ10" s="1822">
        <v>0.33300000000000002</v>
      </c>
      <c r="AR10" s="1823"/>
      <c r="AS10" s="1824"/>
      <c r="AT10" s="1824"/>
      <c r="AU10" s="1824"/>
      <c r="AV10" s="231"/>
    </row>
    <row r="11" spans="1:48" s="230" customFormat="1" ht="18.75" customHeight="1" thickBot="1" x14ac:dyDescent="0.3">
      <c r="A11" s="2481"/>
      <c r="B11" s="2483"/>
      <c r="C11" s="2442"/>
      <c r="D11" s="2513"/>
      <c r="E11" s="2514"/>
      <c r="F11" s="2204" t="s">
        <v>200</v>
      </c>
      <c r="G11" s="2205"/>
      <c r="H11" s="1825">
        <f>SQRT(I11^2+J11^2)*1000/(SQRT(3)*H15)</f>
        <v>335.08866985719862</v>
      </c>
      <c r="I11" s="1826">
        <v>3.3809999999999998</v>
      </c>
      <c r="J11" s="1827">
        <v>0.83399999999999996</v>
      </c>
      <c r="K11" s="1825">
        <f>SQRT(L11^2+M11^2)*1000/(SQRT(3)*K15)</f>
        <v>325.49679977945505</v>
      </c>
      <c r="L11" s="1826">
        <v>3.2789999999999999</v>
      </c>
      <c r="M11" s="1827">
        <v>0.83099999999999996</v>
      </c>
      <c r="N11" s="1825">
        <f>SQRT(O11^2+P11^2)*1000/(SQRT(3)*N15)</f>
        <v>320.75250063977154</v>
      </c>
      <c r="O11" s="1826">
        <v>3.2250000000000001</v>
      </c>
      <c r="P11" s="1827">
        <v>0.84299999999999997</v>
      </c>
      <c r="Q11" s="1825">
        <f>SQRT(R11^2+S11^2)*1000/(SQRT(3)*Q15)</f>
        <v>318.51870693362213</v>
      </c>
      <c r="R11" s="1826">
        <v>3.2010000000000001</v>
      </c>
      <c r="S11" s="1827">
        <v>0.84299999999999997</v>
      </c>
      <c r="T11" s="1825">
        <f>SQRT(U11^2+V11^2)*1000/(SQRT(3)*T15)</f>
        <v>322.51563269604986</v>
      </c>
      <c r="U11" s="1826">
        <v>3.24</v>
      </c>
      <c r="V11" s="1827">
        <v>0.85799999999999998</v>
      </c>
      <c r="W11" s="1825">
        <f>SQRT(X11^2+Y11^2)*1000/(SQRT(3)*W15)</f>
        <v>336.83947710049262</v>
      </c>
      <c r="X11" s="1826">
        <v>3.3929999999999998</v>
      </c>
      <c r="Y11" s="1827">
        <v>0.86099999999999999</v>
      </c>
      <c r="Z11" s="1825">
        <f>SQRT(AA11^2+AB11^2)*1000/(SQRT(3)*Z15)</f>
        <v>369.30294700512025</v>
      </c>
      <c r="AA11" s="1826">
        <v>3.738</v>
      </c>
      <c r="AB11" s="1827">
        <v>0.87</v>
      </c>
      <c r="AC11" s="1825">
        <f>SQRT(AD11^2+AE11^2)*1000/(SQRT(3)*AC15)</f>
        <v>413.4042613874866</v>
      </c>
      <c r="AD11" s="1826">
        <v>4.1970000000000001</v>
      </c>
      <c r="AE11" s="1827">
        <v>0.91800000000000004</v>
      </c>
      <c r="AF11" s="1825">
        <f>SQRT(AG11^2+AH11^2)*1000/(SQRT(3)*AF15)</f>
        <v>450.76203995752201</v>
      </c>
      <c r="AG11" s="1826">
        <v>4.5780000000000003</v>
      </c>
      <c r="AH11" s="1827">
        <v>0.99299999999999999</v>
      </c>
      <c r="AI11" s="1825">
        <f>SQRT(AJ11^2+AK11^2)*1000/(SQRT(3)*AI15)</f>
        <v>473.40301717106394</v>
      </c>
      <c r="AJ11" s="1826">
        <v>4.8090000000000002</v>
      </c>
      <c r="AK11" s="1827">
        <v>1.038</v>
      </c>
      <c r="AL11" s="1825">
        <f>SQRT(AM11^2+AN11^2)*1000/(SQRT(3)*AL15)</f>
        <v>483.76647258775591</v>
      </c>
      <c r="AM11" s="1826">
        <v>4.9139999999999997</v>
      </c>
      <c r="AN11" s="1827">
        <v>1.0620000000000001</v>
      </c>
      <c r="AO11" s="1825">
        <f>SQRT(AP11^2+AQ11^2)*1000/(SQRT(3)*AO15)</f>
        <v>485.30746268044686</v>
      </c>
      <c r="AP11" s="1826">
        <v>4.9379999999999997</v>
      </c>
      <c r="AQ11" s="1827">
        <v>1.026</v>
      </c>
      <c r="AR11" s="1823"/>
      <c r="AS11" s="1824"/>
      <c r="AT11" s="1824"/>
      <c r="AU11" s="1824"/>
      <c r="AV11" s="231"/>
    </row>
    <row r="12" spans="1:48" s="230" customFormat="1" ht="20.25" customHeight="1" thickBot="1" x14ac:dyDescent="0.3">
      <c r="A12" s="2481"/>
      <c r="B12" s="2483"/>
      <c r="C12" s="2442"/>
      <c r="D12" s="2492" t="s">
        <v>39</v>
      </c>
      <c r="E12" s="2493"/>
      <c r="F12" s="2516"/>
      <c r="G12" s="2517"/>
      <c r="H12" s="2501">
        <v>6</v>
      </c>
      <c r="I12" s="2502"/>
      <c r="J12" s="2503"/>
      <c r="K12" s="2501">
        <v>6</v>
      </c>
      <c r="L12" s="2502"/>
      <c r="M12" s="2503"/>
      <c r="N12" s="2501">
        <v>6</v>
      </c>
      <c r="O12" s="2502"/>
      <c r="P12" s="2503"/>
      <c r="Q12" s="2501">
        <v>6</v>
      </c>
      <c r="R12" s="2502"/>
      <c r="S12" s="2503"/>
      <c r="T12" s="2501">
        <v>6</v>
      </c>
      <c r="U12" s="2502"/>
      <c r="V12" s="2503"/>
      <c r="W12" s="2501">
        <v>6</v>
      </c>
      <c r="X12" s="2502"/>
      <c r="Y12" s="2503"/>
      <c r="Z12" s="2501">
        <v>6</v>
      </c>
      <c r="AA12" s="2502"/>
      <c r="AB12" s="2503"/>
      <c r="AC12" s="2501">
        <v>6</v>
      </c>
      <c r="AD12" s="2502"/>
      <c r="AE12" s="2503"/>
      <c r="AF12" s="2501">
        <v>6</v>
      </c>
      <c r="AG12" s="2502"/>
      <c r="AH12" s="2503"/>
      <c r="AI12" s="2501">
        <v>6</v>
      </c>
      <c r="AJ12" s="2502"/>
      <c r="AK12" s="2503"/>
      <c r="AL12" s="2501">
        <v>6</v>
      </c>
      <c r="AM12" s="2502"/>
      <c r="AN12" s="2503"/>
      <c r="AO12" s="2501">
        <v>6</v>
      </c>
      <c r="AP12" s="2502"/>
      <c r="AQ12" s="2503"/>
      <c r="AS12" s="231"/>
      <c r="AT12" s="231"/>
      <c r="AU12" s="231"/>
      <c r="AV12" s="231"/>
    </row>
    <row r="13" spans="1:48" s="230" customFormat="1" ht="18.75" customHeight="1" x14ac:dyDescent="0.25">
      <c r="A13" s="2481"/>
      <c r="B13" s="2483"/>
      <c r="C13" s="2442"/>
      <c r="D13" s="2198" t="s">
        <v>14</v>
      </c>
      <c r="E13" s="2480"/>
      <c r="F13" s="2202" t="s">
        <v>81</v>
      </c>
      <c r="G13" s="2203"/>
      <c r="H13" s="2498">
        <v>119</v>
      </c>
      <c r="I13" s="2499"/>
      <c r="J13" s="2500"/>
      <c r="K13" s="2498">
        <v>119</v>
      </c>
      <c r="L13" s="2499"/>
      <c r="M13" s="2500"/>
      <c r="N13" s="2498">
        <v>119</v>
      </c>
      <c r="O13" s="2499"/>
      <c r="P13" s="2500"/>
      <c r="Q13" s="2498">
        <v>119</v>
      </c>
      <c r="R13" s="2499"/>
      <c r="S13" s="2500"/>
      <c r="T13" s="2498">
        <v>119</v>
      </c>
      <c r="U13" s="2499"/>
      <c r="V13" s="2500"/>
      <c r="W13" s="2498">
        <v>119</v>
      </c>
      <c r="X13" s="2499"/>
      <c r="Y13" s="2500"/>
      <c r="Z13" s="2498">
        <v>119</v>
      </c>
      <c r="AA13" s="2499"/>
      <c r="AB13" s="2500"/>
      <c r="AC13" s="2498">
        <v>119</v>
      </c>
      <c r="AD13" s="2499"/>
      <c r="AE13" s="2500"/>
      <c r="AF13" s="2498">
        <v>119</v>
      </c>
      <c r="AG13" s="2499"/>
      <c r="AH13" s="2500"/>
      <c r="AI13" s="2498">
        <v>119</v>
      </c>
      <c r="AJ13" s="2499"/>
      <c r="AK13" s="2500"/>
      <c r="AL13" s="2498">
        <v>119</v>
      </c>
      <c r="AM13" s="2499"/>
      <c r="AN13" s="2500"/>
      <c r="AO13" s="2498">
        <v>119</v>
      </c>
      <c r="AP13" s="2499"/>
      <c r="AQ13" s="2500"/>
      <c r="AS13" s="231"/>
      <c r="AT13" s="231"/>
      <c r="AU13" s="231"/>
      <c r="AV13" s="231"/>
    </row>
    <row r="14" spans="1:48" s="230" customFormat="1" ht="18.75" customHeight="1" x14ac:dyDescent="0.25">
      <c r="A14" s="2481"/>
      <c r="B14" s="2483"/>
      <c r="C14" s="2442"/>
      <c r="D14" s="2481"/>
      <c r="E14" s="2482"/>
      <c r="F14" s="2487" t="s">
        <v>82</v>
      </c>
      <c r="G14" s="2488"/>
      <c r="H14" s="2495">
        <v>10.1</v>
      </c>
      <c r="I14" s="2496"/>
      <c r="J14" s="2497"/>
      <c r="K14" s="2495">
        <v>10.1</v>
      </c>
      <c r="L14" s="2496"/>
      <c r="M14" s="2497"/>
      <c r="N14" s="2495">
        <v>10.1</v>
      </c>
      <c r="O14" s="2496"/>
      <c r="P14" s="2497"/>
      <c r="Q14" s="2495">
        <v>10.1</v>
      </c>
      <c r="R14" s="2496"/>
      <c r="S14" s="2497"/>
      <c r="T14" s="2495">
        <v>10.1</v>
      </c>
      <c r="U14" s="2496"/>
      <c r="V14" s="2497"/>
      <c r="W14" s="2495">
        <v>10.1</v>
      </c>
      <c r="X14" s="2496"/>
      <c r="Y14" s="2497"/>
      <c r="Z14" s="2495">
        <v>10.1</v>
      </c>
      <c r="AA14" s="2496"/>
      <c r="AB14" s="2497"/>
      <c r="AC14" s="2495">
        <v>10.1</v>
      </c>
      <c r="AD14" s="2496"/>
      <c r="AE14" s="2497"/>
      <c r="AF14" s="2495">
        <v>10.1</v>
      </c>
      <c r="AG14" s="2496"/>
      <c r="AH14" s="2497"/>
      <c r="AI14" s="2495">
        <v>10.1</v>
      </c>
      <c r="AJ14" s="2496"/>
      <c r="AK14" s="2497"/>
      <c r="AL14" s="2495">
        <v>10.1</v>
      </c>
      <c r="AM14" s="2496"/>
      <c r="AN14" s="2497"/>
      <c r="AO14" s="2495">
        <v>10.1</v>
      </c>
      <c r="AP14" s="2496"/>
      <c r="AQ14" s="2497"/>
      <c r="AS14" s="231"/>
      <c r="AT14" s="231"/>
      <c r="AU14" s="231"/>
      <c r="AV14" s="231"/>
    </row>
    <row r="15" spans="1:48" s="230" customFormat="1" ht="18.75" customHeight="1" thickBot="1" x14ac:dyDescent="0.3">
      <c r="A15" s="2481"/>
      <c r="B15" s="2483"/>
      <c r="C15" s="2442"/>
      <c r="D15" s="2200"/>
      <c r="E15" s="2484"/>
      <c r="F15" s="2204" t="s">
        <v>200</v>
      </c>
      <c r="G15" s="2205"/>
      <c r="H15" s="2489">
        <v>6</v>
      </c>
      <c r="I15" s="2490"/>
      <c r="J15" s="2491"/>
      <c r="K15" s="2489">
        <v>6</v>
      </c>
      <c r="L15" s="2490"/>
      <c r="M15" s="2491"/>
      <c r="N15" s="2489">
        <v>6</v>
      </c>
      <c r="O15" s="2490"/>
      <c r="P15" s="2491"/>
      <c r="Q15" s="2489">
        <v>6</v>
      </c>
      <c r="R15" s="2490"/>
      <c r="S15" s="2491"/>
      <c r="T15" s="2489">
        <v>6</v>
      </c>
      <c r="U15" s="2490"/>
      <c r="V15" s="2491"/>
      <c r="W15" s="2489">
        <v>6</v>
      </c>
      <c r="X15" s="2490"/>
      <c r="Y15" s="2491"/>
      <c r="Z15" s="2489">
        <v>6</v>
      </c>
      <c r="AA15" s="2490"/>
      <c r="AB15" s="2491"/>
      <c r="AC15" s="2489">
        <v>6</v>
      </c>
      <c r="AD15" s="2490"/>
      <c r="AE15" s="2491"/>
      <c r="AF15" s="2489">
        <v>6</v>
      </c>
      <c r="AG15" s="2490"/>
      <c r="AH15" s="2491"/>
      <c r="AI15" s="2489">
        <v>6</v>
      </c>
      <c r="AJ15" s="2490"/>
      <c r="AK15" s="2491"/>
      <c r="AL15" s="2489">
        <v>6</v>
      </c>
      <c r="AM15" s="2490"/>
      <c r="AN15" s="2491"/>
      <c r="AO15" s="2489">
        <v>6</v>
      </c>
      <c r="AP15" s="2490"/>
      <c r="AQ15" s="2491"/>
      <c r="AS15" s="231"/>
      <c r="AT15" s="231"/>
      <c r="AU15" s="231"/>
      <c r="AV15" s="231"/>
    </row>
    <row r="16" spans="1:48" s="230" customFormat="1" ht="21" customHeight="1" thickBot="1" x14ac:dyDescent="0.3">
      <c r="A16" s="2200"/>
      <c r="B16" s="2201"/>
      <c r="C16" s="2443"/>
      <c r="D16" s="2546" t="s">
        <v>83</v>
      </c>
      <c r="E16" s="2547"/>
      <c r="F16" s="2548"/>
      <c r="G16" s="2549"/>
      <c r="H16" s="2504" t="s">
        <v>84</v>
      </c>
      <c r="I16" s="2505"/>
      <c r="J16" s="2506"/>
      <c r="K16" s="2504" t="s">
        <v>84</v>
      </c>
      <c r="L16" s="2505"/>
      <c r="M16" s="2506"/>
      <c r="N16" s="2504" t="s">
        <v>84</v>
      </c>
      <c r="O16" s="2505"/>
      <c r="P16" s="2506"/>
      <c r="Q16" s="2504" t="s">
        <v>84</v>
      </c>
      <c r="R16" s="2505"/>
      <c r="S16" s="2506"/>
      <c r="T16" s="2504" t="s">
        <v>84</v>
      </c>
      <c r="U16" s="2505"/>
      <c r="V16" s="2506"/>
      <c r="W16" s="2504" t="s">
        <v>84</v>
      </c>
      <c r="X16" s="2505"/>
      <c r="Y16" s="2506"/>
      <c r="Z16" s="2504" t="s">
        <v>84</v>
      </c>
      <c r="AA16" s="2505"/>
      <c r="AB16" s="2506"/>
      <c r="AC16" s="2504" t="s">
        <v>84</v>
      </c>
      <c r="AD16" s="2505"/>
      <c r="AE16" s="2506"/>
      <c r="AF16" s="2504" t="s">
        <v>84</v>
      </c>
      <c r="AG16" s="2505"/>
      <c r="AH16" s="2506"/>
      <c r="AI16" s="2504" t="s">
        <v>84</v>
      </c>
      <c r="AJ16" s="2505"/>
      <c r="AK16" s="2506"/>
      <c r="AL16" s="2504" t="s">
        <v>84</v>
      </c>
      <c r="AM16" s="2505"/>
      <c r="AN16" s="2506"/>
      <c r="AO16" s="2504" t="s">
        <v>84</v>
      </c>
      <c r="AP16" s="2505"/>
      <c r="AQ16" s="2506"/>
      <c r="AS16" s="231"/>
      <c r="AT16" s="231"/>
      <c r="AU16" s="231"/>
      <c r="AV16" s="231"/>
    </row>
    <row r="17" spans="1:48" s="230" customFormat="1" ht="16.5" customHeight="1" x14ac:dyDescent="0.25">
      <c r="A17" s="2507" t="s">
        <v>1</v>
      </c>
      <c r="B17" s="2199"/>
      <c r="C17" s="2441">
        <v>40</v>
      </c>
      <c r="D17" s="2509" t="s">
        <v>13</v>
      </c>
      <c r="E17" s="2510"/>
      <c r="F17" s="2202" t="s">
        <v>81</v>
      </c>
      <c r="G17" s="2203"/>
      <c r="H17" s="1817">
        <f>SQRT(I17^2+J17^2)*1000/(SQRT(3)*H21)</f>
        <v>36.961430359603355</v>
      </c>
      <c r="I17" s="1818">
        <v>7.5042</v>
      </c>
      <c r="J17" s="1819">
        <v>1.3134000000000001</v>
      </c>
      <c r="K17" s="1817">
        <f>SQRT(L17^2+M17^2)*1000/(SQRT(3)*K21)</f>
        <v>35.331066014065811</v>
      </c>
      <c r="L17" s="1818">
        <v>7.1676000000000002</v>
      </c>
      <c r="M17" s="1819">
        <v>1.2869999999999999</v>
      </c>
      <c r="N17" s="1817">
        <f>SQRT(O17^2+P17^2)*1000/(SQRT(3)*N21)</f>
        <v>34.33715481152754</v>
      </c>
      <c r="O17" s="1818">
        <v>6.9630000000000001</v>
      </c>
      <c r="P17" s="1819">
        <v>1.2672000000000001</v>
      </c>
      <c r="Q17" s="1817">
        <f>SQRT(R17^2+S17^2)*1000/(SQRT(3)*Q21)</f>
        <v>33.767316721258368</v>
      </c>
      <c r="R17" s="1818">
        <v>6.8508000000000004</v>
      </c>
      <c r="S17" s="1819">
        <v>1.2275999999999998</v>
      </c>
      <c r="T17" s="1817">
        <f>SQRT(U17^2+V17^2)*1000/(SQRT(3)*T21)</f>
        <v>34.151212821709585</v>
      </c>
      <c r="U17" s="1818">
        <v>6.93</v>
      </c>
      <c r="V17" s="1819">
        <v>1.2342</v>
      </c>
      <c r="W17" s="1817">
        <f>SQRT(X17^2+Y17^2)*1000/(SQRT(3)*W21)</f>
        <v>36.655553384926947</v>
      </c>
      <c r="X17" s="1818">
        <v>7.4447999999999999</v>
      </c>
      <c r="Y17" s="1819">
        <v>1.2869999999999999</v>
      </c>
      <c r="Z17" s="1817">
        <f>SQRT(AA17^2+AB17^2)*1000/(SQRT(3)*Z21)</f>
        <v>42.30374894302583</v>
      </c>
      <c r="AA17" s="1818">
        <v>8.6063999999999989</v>
      </c>
      <c r="AB17" s="1819">
        <v>1.3991999999999998</v>
      </c>
      <c r="AC17" s="1817">
        <f>SQRT(AD17^2+AE17^2)*1000/(SQRT(3)*AC21)</f>
        <v>46.405224777610407</v>
      </c>
      <c r="AD17" s="1818">
        <v>9.4446000000000012</v>
      </c>
      <c r="AE17" s="1819">
        <v>1.5114000000000001</v>
      </c>
      <c r="AF17" s="1817">
        <f>SQRT(AG17^2+AH17^2)*1000/(SQRT(3)*AF21)</f>
        <v>49.781196215496053</v>
      </c>
      <c r="AG17" s="1818">
        <v>10.137600000000001</v>
      </c>
      <c r="AH17" s="1819">
        <v>1.5840000000000001</v>
      </c>
      <c r="AI17" s="1817">
        <f>SQRT(AJ17^2+AK17^2)*1000/(SQRT(3)*AI21)</f>
        <v>52.5861560052046</v>
      </c>
      <c r="AJ17" s="1818">
        <v>10.705200000000001</v>
      </c>
      <c r="AK17" s="1819">
        <v>1.6962000000000002</v>
      </c>
      <c r="AL17" s="1817">
        <f>SQRT(AM17^2+AN17^2)*1000/(SQRT(3)*AL21)</f>
        <v>53.29407105886677</v>
      </c>
      <c r="AM17" s="1818">
        <v>10.856999999999999</v>
      </c>
      <c r="AN17" s="1819">
        <v>1.6698000000000002</v>
      </c>
      <c r="AO17" s="1817">
        <f>SQRT(AP17^2+AQ17^2)*1000/(SQRT(3)*AO21)</f>
        <v>53.973302881246219</v>
      </c>
      <c r="AP17" s="1818">
        <v>10.9956</v>
      </c>
      <c r="AQ17" s="1819">
        <v>1.6896</v>
      </c>
      <c r="AR17" s="284"/>
      <c r="AS17" s="393"/>
      <c r="AT17" s="480"/>
      <c r="AU17" s="480"/>
      <c r="AV17" s="231"/>
    </row>
    <row r="18" spans="1:48" s="230" customFormat="1" ht="16.5" customHeight="1" x14ac:dyDescent="0.25">
      <c r="A18" s="2508"/>
      <c r="B18" s="2483"/>
      <c r="C18" s="2442"/>
      <c r="D18" s="2511"/>
      <c r="E18" s="2512"/>
      <c r="F18" s="2487" t="s">
        <v>82</v>
      </c>
      <c r="G18" s="2488"/>
      <c r="H18" s="1820">
        <f>SQRT(I18^2+J18^2)*1000/(SQRT(3)*H22)</f>
        <v>173.67155111276895</v>
      </c>
      <c r="I18" s="1821">
        <v>3.0329999999999999</v>
      </c>
      <c r="J18" s="1822">
        <v>0.17699999999999999</v>
      </c>
      <c r="K18" s="1820">
        <f>SQRT(L18^2+M18^2)*1000/(SQRT(3)*K22)</f>
        <v>161.56240753430714</v>
      </c>
      <c r="L18" s="1821">
        <v>2.82</v>
      </c>
      <c r="M18" s="1822">
        <v>0.189</v>
      </c>
      <c r="N18" s="1820">
        <f>SQRT(O18^2+P18^2)*1000/(SQRT(3)*N22)</f>
        <v>156.58893980423028</v>
      </c>
      <c r="O18" s="1821">
        <v>2.7330000000000001</v>
      </c>
      <c r="P18" s="1822">
        <v>0.186</v>
      </c>
      <c r="Q18" s="1820">
        <f>SQRT(R18^2+S18^2)*1000/(SQRT(3)*Q22)</f>
        <v>154.34154215931017</v>
      </c>
      <c r="R18" s="1821">
        <v>2.694</v>
      </c>
      <c r="S18" s="1822">
        <v>0.18</v>
      </c>
      <c r="T18" s="1820">
        <f>SQRT(U18^2+V18^2)*1000/(SQRT(3)*T22)</f>
        <v>155.51701075210792</v>
      </c>
      <c r="U18" s="1821">
        <v>2.7149999999999999</v>
      </c>
      <c r="V18" s="1822">
        <v>0.17399999999999999</v>
      </c>
      <c r="W18" s="1820">
        <f>SQRT(X18^2+Y18^2)*1000/(SQRT(3)*W22)</f>
        <v>170.41887766132817</v>
      </c>
      <c r="X18" s="1821">
        <v>2.976</v>
      </c>
      <c r="Y18" s="1822">
        <v>0.17699999999999999</v>
      </c>
      <c r="Z18" s="1820">
        <f>SQRT(AA18^2+AB18^2)*1000/(SQRT(3)*Z22)</f>
        <v>201.32450355043824</v>
      </c>
      <c r="AA18" s="1821">
        <v>3.516</v>
      </c>
      <c r="AB18" s="1822">
        <v>0.20399999999999999</v>
      </c>
      <c r="AC18" s="1820">
        <f>SQRT(AD18^2+AE18^2)*1000/(SQRT(3)*AC22)</f>
        <v>220.72018542688161</v>
      </c>
      <c r="AD18" s="1821">
        <v>3.855</v>
      </c>
      <c r="AE18" s="1822">
        <v>0.219</v>
      </c>
      <c r="AF18" s="1820">
        <f>SQRT(AG18^2+AH18^2)*1000/(SQRT(3)*AF22)</f>
        <v>236.60953106161458</v>
      </c>
      <c r="AG18" s="1821">
        <v>4.1340000000000003</v>
      </c>
      <c r="AH18" s="1822">
        <v>0.20699999999999999</v>
      </c>
      <c r="AI18" s="1820">
        <f>SQRT(AJ18^2+AK18^2)*1000/(SQRT(3)*AI22)</f>
        <v>258.5137517941352</v>
      </c>
      <c r="AJ18" s="1821">
        <v>4.5149999999999997</v>
      </c>
      <c r="AK18" s="1822">
        <v>0.25800000000000001</v>
      </c>
      <c r="AL18" s="1820">
        <f>SQRT(AM18^2+AN18^2)*1000/(SQRT(3)*AL22)</f>
        <v>268.67427143470138</v>
      </c>
      <c r="AM18" s="1821">
        <v>4.6920000000000002</v>
      </c>
      <c r="AN18" s="1822">
        <v>0.27600000000000002</v>
      </c>
      <c r="AO18" s="1820">
        <f>SQRT(AP18^2+AQ18^2)*1000/(SQRT(3)*AO22)</f>
        <v>267.75966044421233</v>
      </c>
      <c r="AP18" s="1821">
        <v>4.6769999999999996</v>
      </c>
      <c r="AQ18" s="1822">
        <v>0.25800000000000001</v>
      </c>
      <c r="AR18" s="284"/>
      <c r="AS18" s="393"/>
      <c r="AT18" s="393"/>
      <c r="AU18" s="393"/>
      <c r="AV18" s="231"/>
    </row>
    <row r="19" spans="1:48" s="230" customFormat="1" ht="16.5" customHeight="1" thickBot="1" x14ac:dyDescent="0.3">
      <c r="A19" s="2481"/>
      <c r="B19" s="2483"/>
      <c r="C19" s="2442"/>
      <c r="D19" s="2513"/>
      <c r="E19" s="2514"/>
      <c r="F19" s="2204" t="s">
        <v>200</v>
      </c>
      <c r="G19" s="2205"/>
      <c r="H19" s="1825">
        <f>SQRT(I19^2+J19^2)*1000/(SQRT(3)*H23)</f>
        <v>439.71070034739887</v>
      </c>
      <c r="I19" s="1826">
        <v>4.4550000000000001</v>
      </c>
      <c r="J19" s="1827">
        <v>1.0169999999999999</v>
      </c>
      <c r="K19" s="1825">
        <f>SQRT(L19^2+M19^2)*1000/(SQRT(3)*K23)</f>
        <v>426.85829030253115</v>
      </c>
      <c r="L19" s="1826">
        <v>4.32</v>
      </c>
      <c r="M19" s="1827">
        <v>1.008</v>
      </c>
      <c r="N19" s="1825">
        <f>SQRT(O19^2+P19^2)*1000/(SQRT(3)*N23)</f>
        <v>416.47729029724218</v>
      </c>
      <c r="O19" s="1826">
        <v>4.2119999999999997</v>
      </c>
      <c r="P19" s="1827">
        <v>0.996</v>
      </c>
      <c r="Q19" s="1825">
        <f>SQRT(R19^2+S19^2)*1000/(SQRT(3)*Q23)</f>
        <v>408.5103017876865</v>
      </c>
      <c r="R19" s="1826">
        <v>4.1340000000000003</v>
      </c>
      <c r="S19" s="1827">
        <v>0.96599999999999997</v>
      </c>
      <c r="T19" s="1825">
        <f>SQRT(U19^2+V19^2)*1000/(SQRT(3)*T23)</f>
        <v>414.11401409112761</v>
      </c>
      <c r="U19" s="1826">
        <v>4.1909999999999998</v>
      </c>
      <c r="V19" s="1827">
        <v>0.97799999999999998</v>
      </c>
      <c r="W19" s="1825">
        <f>SQRT(X19^2+Y19^2)*1000/(SQRT(3)*W23)</f>
        <v>438.48346605088767</v>
      </c>
      <c r="X19" s="1826">
        <v>4.4459999999999997</v>
      </c>
      <c r="Y19" s="1827">
        <v>0.999</v>
      </c>
      <c r="Z19" s="1825">
        <f>SQRT(AA19^2+AB19^2)*1000/(SQRT(3)*Z23)</f>
        <v>497.24180904934639</v>
      </c>
      <c r="AA19" s="1826">
        <v>5.0640000000000001</v>
      </c>
      <c r="AB19" s="1827">
        <v>1.0289999999999999</v>
      </c>
      <c r="AC19" s="1825">
        <f>SQRT(AD19^2+AE19^2)*1000/(SQRT(3)*AC23)</f>
        <v>545.83155215994361</v>
      </c>
      <c r="AD19" s="1826">
        <v>5.5709999999999997</v>
      </c>
      <c r="AE19" s="1827">
        <v>1.0680000000000001</v>
      </c>
      <c r="AF19" s="1825">
        <f>SQRT(AG19^2+AH19^2)*1000/(SQRT(3)*AF23)</f>
        <v>585.16016326016825</v>
      </c>
      <c r="AG19" s="1826">
        <v>5.9790000000000001</v>
      </c>
      <c r="AH19" s="1827">
        <v>1.1100000000000001</v>
      </c>
      <c r="AI19" s="1825">
        <f>SQRT(AJ19^2+AK19^2)*1000/(SQRT(3)*AI23)</f>
        <v>603.60175888853519</v>
      </c>
      <c r="AJ19" s="1826">
        <v>6.165</v>
      </c>
      <c r="AK19" s="1827">
        <v>1.1579999999999999</v>
      </c>
      <c r="AL19" s="1825">
        <f>SQRT(AM19^2+AN19^2)*1000/(SQRT(3)*AL23)</f>
        <v>600.34004253145281</v>
      </c>
      <c r="AM19" s="1826">
        <v>6.141</v>
      </c>
      <c r="AN19" s="1827">
        <v>1.101</v>
      </c>
      <c r="AO19" s="1825">
        <f>SQRT(AP19^2+AQ19^2)*1000/(SQRT(3)*AO23)</f>
        <v>615.72734766832195</v>
      </c>
      <c r="AP19" s="1826">
        <v>6.2969999999999997</v>
      </c>
      <c r="AQ19" s="1827">
        <v>1.137</v>
      </c>
      <c r="AR19" s="284"/>
      <c r="AS19" s="393"/>
      <c r="AT19" s="393"/>
      <c r="AU19" s="393"/>
      <c r="AV19" s="231"/>
    </row>
    <row r="20" spans="1:48" s="230" customFormat="1" ht="16.5" customHeight="1" thickBot="1" x14ac:dyDescent="0.3">
      <c r="A20" s="2481"/>
      <c r="B20" s="2483"/>
      <c r="C20" s="2442"/>
      <c r="D20" s="2492" t="s">
        <v>39</v>
      </c>
      <c r="E20" s="2493"/>
      <c r="F20" s="2493"/>
      <c r="G20" s="2494"/>
      <c r="H20" s="2501">
        <v>6</v>
      </c>
      <c r="I20" s="2502"/>
      <c r="J20" s="2503"/>
      <c r="K20" s="2501">
        <v>6</v>
      </c>
      <c r="L20" s="2502"/>
      <c r="M20" s="2503"/>
      <c r="N20" s="2501">
        <v>6</v>
      </c>
      <c r="O20" s="2502"/>
      <c r="P20" s="2503"/>
      <c r="Q20" s="2501">
        <v>6</v>
      </c>
      <c r="R20" s="2502"/>
      <c r="S20" s="2503"/>
      <c r="T20" s="2501">
        <v>6</v>
      </c>
      <c r="U20" s="2502"/>
      <c r="V20" s="2503"/>
      <c r="W20" s="2501">
        <v>6</v>
      </c>
      <c r="X20" s="2502"/>
      <c r="Y20" s="2503"/>
      <c r="Z20" s="2501">
        <v>6</v>
      </c>
      <c r="AA20" s="2502"/>
      <c r="AB20" s="2503"/>
      <c r="AC20" s="2501">
        <v>6</v>
      </c>
      <c r="AD20" s="2502"/>
      <c r="AE20" s="2503"/>
      <c r="AF20" s="2501">
        <v>6</v>
      </c>
      <c r="AG20" s="2502"/>
      <c r="AH20" s="2503"/>
      <c r="AI20" s="2501">
        <v>6</v>
      </c>
      <c r="AJ20" s="2502"/>
      <c r="AK20" s="2503"/>
      <c r="AL20" s="2501">
        <v>6</v>
      </c>
      <c r="AM20" s="2502"/>
      <c r="AN20" s="2503"/>
      <c r="AO20" s="2501">
        <v>6</v>
      </c>
      <c r="AP20" s="2502"/>
      <c r="AQ20" s="2503"/>
      <c r="AS20" s="231"/>
      <c r="AT20" s="231"/>
      <c r="AU20" s="231"/>
      <c r="AV20" s="231"/>
    </row>
    <row r="21" spans="1:48" s="230" customFormat="1" ht="17.25" customHeight="1" x14ac:dyDescent="0.25">
      <c r="A21" s="2481"/>
      <c r="B21" s="2483"/>
      <c r="C21" s="2442"/>
      <c r="D21" s="2198" t="s">
        <v>14</v>
      </c>
      <c r="E21" s="2480"/>
      <c r="F21" s="2202" t="s">
        <v>81</v>
      </c>
      <c r="G21" s="2203"/>
      <c r="H21" s="2498">
        <v>119</v>
      </c>
      <c r="I21" s="2499"/>
      <c r="J21" s="2500"/>
      <c r="K21" s="2498">
        <v>119</v>
      </c>
      <c r="L21" s="2499"/>
      <c r="M21" s="2500"/>
      <c r="N21" s="2498">
        <v>119</v>
      </c>
      <c r="O21" s="2499"/>
      <c r="P21" s="2500"/>
      <c r="Q21" s="2498">
        <v>119</v>
      </c>
      <c r="R21" s="2499"/>
      <c r="S21" s="2500"/>
      <c r="T21" s="2498">
        <v>119</v>
      </c>
      <c r="U21" s="2499"/>
      <c r="V21" s="2500"/>
      <c r="W21" s="2498">
        <v>119</v>
      </c>
      <c r="X21" s="2499"/>
      <c r="Y21" s="2500"/>
      <c r="Z21" s="2498">
        <v>119</v>
      </c>
      <c r="AA21" s="2499"/>
      <c r="AB21" s="2500"/>
      <c r="AC21" s="2498">
        <v>119</v>
      </c>
      <c r="AD21" s="2499"/>
      <c r="AE21" s="2500"/>
      <c r="AF21" s="2498">
        <v>119</v>
      </c>
      <c r="AG21" s="2499"/>
      <c r="AH21" s="2500"/>
      <c r="AI21" s="2498">
        <v>119</v>
      </c>
      <c r="AJ21" s="2499"/>
      <c r="AK21" s="2500"/>
      <c r="AL21" s="2498">
        <v>119</v>
      </c>
      <c r="AM21" s="2499"/>
      <c r="AN21" s="2500"/>
      <c r="AO21" s="2498">
        <v>119</v>
      </c>
      <c r="AP21" s="2499"/>
      <c r="AQ21" s="2500"/>
      <c r="AS21" s="231"/>
      <c r="AT21" s="231"/>
      <c r="AU21" s="231"/>
      <c r="AV21" s="231"/>
    </row>
    <row r="22" spans="1:48" s="230" customFormat="1" ht="17.25" customHeight="1" x14ac:dyDescent="0.25">
      <c r="A22" s="2481"/>
      <c r="B22" s="2483"/>
      <c r="C22" s="2442"/>
      <c r="D22" s="2481"/>
      <c r="E22" s="2482"/>
      <c r="F22" s="2487" t="s">
        <v>82</v>
      </c>
      <c r="G22" s="2488"/>
      <c r="H22" s="2495">
        <v>10.1</v>
      </c>
      <c r="I22" s="2496"/>
      <c r="J22" s="2497"/>
      <c r="K22" s="2495">
        <v>10.1</v>
      </c>
      <c r="L22" s="2496"/>
      <c r="M22" s="2497"/>
      <c r="N22" s="2495">
        <v>10.1</v>
      </c>
      <c r="O22" s="2496"/>
      <c r="P22" s="2497"/>
      <c r="Q22" s="2495">
        <v>10.1</v>
      </c>
      <c r="R22" s="2496"/>
      <c r="S22" s="2497"/>
      <c r="T22" s="2495">
        <v>10.1</v>
      </c>
      <c r="U22" s="2496"/>
      <c r="V22" s="2497"/>
      <c r="W22" s="2495">
        <v>10.1</v>
      </c>
      <c r="X22" s="2496"/>
      <c r="Y22" s="2497"/>
      <c r="Z22" s="2495">
        <v>10.1</v>
      </c>
      <c r="AA22" s="2496"/>
      <c r="AB22" s="2497"/>
      <c r="AC22" s="2495">
        <v>10.1</v>
      </c>
      <c r="AD22" s="2496"/>
      <c r="AE22" s="2497"/>
      <c r="AF22" s="2495">
        <v>10.1</v>
      </c>
      <c r="AG22" s="2496"/>
      <c r="AH22" s="2497"/>
      <c r="AI22" s="2495">
        <v>10.1</v>
      </c>
      <c r="AJ22" s="2496"/>
      <c r="AK22" s="2497"/>
      <c r="AL22" s="2495">
        <v>10.1</v>
      </c>
      <c r="AM22" s="2496"/>
      <c r="AN22" s="2497"/>
      <c r="AO22" s="2495">
        <v>10.1</v>
      </c>
      <c r="AP22" s="2496"/>
      <c r="AQ22" s="2497"/>
      <c r="AS22" s="231"/>
      <c r="AT22" s="231"/>
      <c r="AU22" s="231"/>
      <c r="AV22" s="231"/>
    </row>
    <row r="23" spans="1:48" s="230" customFormat="1" ht="17.25" customHeight="1" thickBot="1" x14ac:dyDescent="0.3">
      <c r="A23" s="2481"/>
      <c r="B23" s="2483"/>
      <c r="C23" s="2442"/>
      <c r="D23" s="2200"/>
      <c r="E23" s="2484"/>
      <c r="F23" s="2204" t="s">
        <v>200</v>
      </c>
      <c r="G23" s="2205"/>
      <c r="H23" s="2489">
        <v>6</v>
      </c>
      <c r="I23" s="2490"/>
      <c r="J23" s="2491"/>
      <c r="K23" s="2489">
        <v>6</v>
      </c>
      <c r="L23" s="2490"/>
      <c r="M23" s="2491"/>
      <c r="N23" s="2489">
        <v>6</v>
      </c>
      <c r="O23" s="2490"/>
      <c r="P23" s="2491"/>
      <c r="Q23" s="2489">
        <v>6</v>
      </c>
      <c r="R23" s="2490"/>
      <c r="S23" s="2491"/>
      <c r="T23" s="2489">
        <v>6</v>
      </c>
      <c r="U23" s="2490"/>
      <c r="V23" s="2491"/>
      <c r="W23" s="2489">
        <v>6</v>
      </c>
      <c r="X23" s="2490"/>
      <c r="Y23" s="2491"/>
      <c r="Z23" s="2489">
        <v>6</v>
      </c>
      <c r="AA23" s="2490"/>
      <c r="AB23" s="2491"/>
      <c r="AC23" s="2489">
        <v>6</v>
      </c>
      <c r="AD23" s="2490"/>
      <c r="AE23" s="2491"/>
      <c r="AF23" s="2489">
        <v>6</v>
      </c>
      <c r="AG23" s="2490"/>
      <c r="AH23" s="2491"/>
      <c r="AI23" s="2489">
        <v>6</v>
      </c>
      <c r="AJ23" s="2490"/>
      <c r="AK23" s="2491"/>
      <c r="AL23" s="2489">
        <v>6</v>
      </c>
      <c r="AM23" s="2490"/>
      <c r="AN23" s="2491"/>
      <c r="AO23" s="2489">
        <v>6</v>
      </c>
      <c r="AP23" s="2490"/>
      <c r="AQ23" s="2491"/>
      <c r="AS23" s="231"/>
      <c r="AT23" s="231"/>
      <c r="AU23" s="231"/>
      <c r="AV23" s="231"/>
    </row>
    <row r="24" spans="1:48" s="230" customFormat="1" ht="16.5" customHeight="1" thickBot="1" x14ac:dyDescent="0.3">
      <c r="A24" s="2200"/>
      <c r="B24" s="2201"/>
      <c r="C24" s="2443"/>
      <c r="D24" s="2492" t="s">
        <v>83</v>
      </c>
      <c r="E24" s="2493"/>
      <c r="F24" s="2493"/>
      <c r="G24" s="2494"/>
      <c r="H24" s="2477" t="s">
        <v>84</v>
      </c>
      <c r="I24" s="2478"/>
      <c r="J24" s="2479"/>
      <c r="K24" s="2477" t="s">
        <v>84</v>
      </c>
      <c r="L24" s="2478"/>
      <c r="M24" s="2479"/>
      <c r="N24" s="2477" t="s">
        <v>84</v>
      </c>
      <c r="O24" s="2478"/>
      <c r="P24" s="2479"/>
      <c r="Q24" s="2477" t="s">
        <v>84</v>
      </c>
      <c r="R24" s="2478"/>
      <c r="S24" s="2479"/>
      <c r="T24" s="2477" t="s">
        <v>84</v>
      </c>
      <c r="U24" s="2478"/>
      <c r="V24" s="2479"/>
      <c r="W24" s="2477" t="s">
        <v>84</v>
      </c>
      <c r="X24" s="2478"/>
      <c r="Y24" s="2479"/>
      <c r="Z24" s="2477" t="s">
        <v>84</v>
      </c>
      <c r="AA24" s="2478"/>
      <c r="AB24" s="2479"/>
      <c r="AC24" s="2477" t="s">
        <v>84</v>
      </c>
      <c r="AD24" s="2478"/>
      <c r="AE24" s="2479"/>
      <c r="AF24" s="2477" t="s">
        <v>84</v>
      </c>
      <c r="AG24" s="2478"/>
      <c r="AH24" s="2479"/>
      <c r="AI24" s="2477" t="s">
        <v>84</v>
      </c>
      <c r="AJ24" s="2478"/>
      <c r="AK24" s="2479"/>
      <c r="AL24" s="2477" t="s">
        <v>84</v>
      </c>
      <c r="AM24" s="2478"/>
      <c r="AN24" s="2479"/>
      <c r="AO24" s="2477" t="s">
        <v>84</v>
      </c>
      <c r="AP24" s="2478"/>
      <c r="AQ24" s="2479"/>
      <c r="AS24" s="231"/>
      <c r="AT24" s="231"/>
      <c r="AU24" s="231"/>
      <c r="AV24" s="231"/>
    </row>
    <row r="25" spans="1:48" s="230" customFormat="1" ht="16.5" customHeight="1" x14ac:dyDescent="0.25">
      <c r="A25" s="2198" t="s">
        <v>86</v>
      </c>
      <c r="B25" s="2480"/>
      <c r="C25" s="2199"/>
      <c r="D25" s="2448"/>
      <c r="E25" s="2450"/>
      <c r="F25" s="2202" t="s">
        <v>81</v>
      </c>
      <c r="G25" s="2203"/>
      <c r="H25" s="1817">
        <f>H17+H9</f>
        <v>67.612572248891823</v>
      </c>
      <c r="I25" s="1828">
        <f>I17+I9</f>
        <v>13.721400000000001</v>
      </c>
      <c r="J25" s="1829">
        <f>J17+J9</f>
        <v>2.4354000000000005</v>
      </c>
      <c r="K25" s="1817">
        <f>K17+K9</f>
        <v>64.42163846061608</v>
      </c>
      <c r="L25" s="1828">
        <f t="shared" ref="L25:AQ25" si="0">L17+L9</f>
        <v>13.061399999999999</v>
      </c>
      <c r="M25" s="1829">
        <f t="shared" si="0"/>
        <v>2.3891999999999998</v>
      </c>
      <c r="N25" s="1817">
        <f t="shared" si="0"/>
        <v>62.647290915551721</v>
      </c>
      <c r="O25" s="1828">
        <f t="shared" si="0"/>
        <v>12.691800000000001</v>
      </c>
      <c r="P25" s="1829">
        <f t="shared" si="0"/>
        <v>2.3760000000000003</v>
      </c>
      <c r="Q25" s="1817">
        <f t="shared" si="0"/>
        <v>61.725576185988174</v>
      </c>
      <c r="R25" s="1828">
        <f t="shared" si="0"/>
        <v>12.507000000000001</v>
      </c>
      <c r="S25" s="1829">
        <f t="shared" si="0"/>
        <v>2.3297999999999996</v>
      </c>
      <c r="T25" s="1817">
        <f t="shared" si="0"/>
        <v>62.429911902349474</v>
      </c>
      <c r="U25" s="1828">
        <f t="shared" si="0"/>
        <v>12.652200000000001</v>
      </c>
      <c r="V25" s="1829">
        <f t="shared" si="0"/>
        <v>2.343</v>
      </c>
      <c r="W25" s="1817">
        <f t="shared" si="0"/>
        <v>66.751306231181047</v>
      </c>
      <c r="X25" s="1828">
        <f t="shared" si="0"/>
        <v>13.543199999999999</v>
      </c>
      <c r="Y25" s="1829">
        <f t="shared" si="0"/>
        <v>2.4222000000000001</v>
      </c>
      <c r="Z25" s="1817">
        <f t="shared" si="0"/>
        <v>76.789827472129645</v>
      </c>
      <c r="AA25" s="1828">
        <f t="shared" si="0"/>
        <v>15.615599999999999</v>
      </c>
      <c r="AB25" s="1829">
        <f t="shared" si="0"/>
        <v>2.5805999999999996</v>
      </c>
      <c r="AC25" s="1817">
        <f t="shared" si="0"/>
        <v>85.176386337678451</v>
      </c>
      <c r="AD25" s="1828">
        <f t="shared" si="0"/>
        <v>17.325000000000003</v>
      </c>
      <c r="AE25" s="1829">
        <f t="shared" si="0"/>
        <v>2.8380000000000001</v>
      </c>
      <c r="AF25" s="1817">
        <f t="shared" si="0"/>
        <v>91.831982039027679</v>
      </c>
      <c r="AG25" s="1828">
        <f t="shared" si="0"/>
        <v>18.684600000000003</v>
      </c>
      <c r="AH25" s="1829">
        <f t="shared" si="0"/>
        <v>3.0228000000000002</v>
      </c>
      <c r="AI25" s="1817">
        <f t="shared" si="0"/>
        <v>97.479577236222156</v>
      </c>
      <c r="AJ25" s="1828">
        <f t="shared" si="0"/>
        <v>19.832999999999998</v>
      </c>
      <c r="AK25" s="1829">
        <f t="shared" si="0"/>
        <v>3.2141999999999999</v>
      </c>
      <c r="AL25" s="1817">
        <f t="shared" si="0"/>
        <v>99.787836822950652</v>
      </c>
      <c r="AM25" s="1828">
        <f t="shared" si="0"/>
        <v>20.308199999999999</v>
      </c>
      <c r="AN25" s="1829">
        <f t="shared" si="0"/>
        <v>3.2538</v>
      </c>
      <c r="AO25" s="1817">
        <f t="shared" si="0"/>
        <v>101.61994669251959</v>
      </c>
      <c r="AP25" s="1828">
        <f t="shared" si="0"/>
        <v>20.684399999999997</v>
      </c>
      <c r="AQ25" s="1829">
        <f t="shared" si="0"/>
        <v>3.2934000000000001</v>
      </c>
      <c r="AS25" s="231"/>
      <c r="AT25" s="231"/>
      <c r="AU25" s="231"/>
      <c r="AV25" s="231"/>
    </row>
    <row r="26" spans="1:48" s="230" customFormat="1" ht="16.5" customHeight="1" x14ac:dyDescent="0.25">
      <c r="A26" s="2481"/>
      <c r="B26" s="2482"/>
      <c r="C26" s="2483"/>
      <c r="D26" s="2485"/>
      <c r="E26" s="2486"/>
      <c r="F26" s="2487" t="s">
        <v>82</v>
      </c>
      <c r="G26" s="2488"/>
      <c r="H26" s="1820">
        <f t="shared" ref="H26:AQ27" si="1">H18+H10</f>
        <v>334.85817990389705</v>
      </c>
      <c r="I26" s="1830">
        <f t="shared" si="1"/>
        <v>5.8439999999999994</v>
      </c>
      <c r="J26" s="1831">
        <f t="shared" si="1"/>
        <v>0.39900000000000002</v>
      </c>
      <c r="K26" s="1820">
        <f t="shared" si="1"/>
        <v>310.45795919842578</v>
      </c>
      <c r="L26" s="1830">
        <f t="shared" si="1"/>
        <v>5.415</v>
      </c>
      <c r="M26" s="1831">
        <f t="shared" si="1"/>
        <v>0.41400000000000003</v>
      </c>
      <c r="N26" s="1820">
        <f t="shared" si="1"/>
        <v>299.52124599332831</v>
      </c>
      <c r="O26" s="1830">
        <f t="shared" si="1"/>
        <v>5.2230000000000008</v>
      </c>
      <c r="P26" s="1831">
        <f t="shared" si="1"/>
        <v>0.41400000000000003</v>
      </c>
      <c r="Q26" s="1820">
        <f t="shared" si="1"/>
        <v>293.82706174995803</v>
      </c>
      <c r="R26" s="1830">
        <f>R18+R10</f>
        <v>5.1240000000000006</v>
      </c>
      <c r="S26" s="1831">
        <f t="shared" si="1"/>
        <v>0.40200000000000002</v>
      </c>
      <c r="T26" s="1820">
        <f t="shared" si="1"/>
        <v>296.82127608904511</v>
      </c>
      <c r="U26" s="1830">
        <f t="shared" si="1"/>
        <v>5.1779999999999999</v>
      </c>
      <c r="V26" s="1831">
        <f t="shared" si="1"/>
        <v>0.38400000000000001</v>
      </c>
      <c r="W26" s="1820">
        <f t="shared" si="1"/>
        <v>324.39843776879547</v>
      </c>
      <c r="X26" s="1830">
        <f t="shared" si="1"/>
        <v>5.6609999999999996</v>
      </c>
      <c r="Y26" s="1831">
        <f t="shared" si="1"/>
        <v>0.39300000000000002</v>
      </c>
      <c r="Z26" s="1820">
        <f t="shared" si="1"/>
        <v>387.81201099345861</v>
      </c>
      <c r="AA26" s="1830">
        <f t="shared" si="1"/>
        <v>6.7709999999999999</v>
      </c>
      <c r="AB26" s="1831">
        <f t="shared" si="1"/>
        <v>0.42299999999999999</v>
      </c>
      <c r="AC26" s="1820">
        <f t="shared" si="1"/>
        <v>430.49417558852781</v>
      </c>
      <c r="AD26" s="1830">
        <f t="shared" si="1"/>
        <v>7.5150000000000006</v>
      </c>
      <c r="AE26" s="1831">
        <f t="shared" si="1"/>
        <v>0.48599999999999999</v>
      </c>
      <c r="AF26" s="1820">
        <f t="shared" si="1"/>
        <v>462.81775325580463</v>
      </c>
      <c r="AG26" s="1830">
        <f t="shared" si="1"/>
        <v>8.0820000000000007</v>
      </c>
      <c r="AH26" s="1831">
        <f t="shared" si="1"/>
        <v>0.47699999999999998</v>
      </c>
      <c r="AI26" s="1820">
        <f t="shared" si="1"/>
        <v>504.810010145246</v>
      </c>
      <c r="AJ26" s="1830">
        <f t="shared" si="1"/>
        <v>8.8140000000000001</v>
      </c>
      <c r="AK26" s="1831">
        <f t="shared" si="1"/>
        <v>0.54600000000000004</v>
      </c>
      <c r="AL26" s="1820">
        <f t="shared" si="1"/>
        <v>527.53016169861098</v>
      </c>
      <c r="AM26" s="1830">
        <f t="shared" si="1"/>
        <v>9.2100000000000009</v>
      </c>
      <c r="AN26" s="1831">
        <f t="shared" si="1"/>
        <v>0.58200000000000007</v>
      </c>
      <c r="AO26" s="1820">
        <f t="shared" si="1"/>
        <v>538.86876586932976</v>
      </c>
      <c r="AP26" s="1830">
        <f t="shared" si="1"/>
        <v>9.4079999999999995</v>
      </c>
      <c r="AQ26" s="1831">
        <f t="shared" si="1"/>
        <v>0.59099999999999997</v>
      </c>
      <c r="AS26" s="231"/>
      <c r="AT26" s="231"/>
      <c r="AU26" s="231"/>
      <c r="AV26" s="231"/>
    </row>
    <row r="27" spans="1:48" s="230" customFormat="1" ht="16.5" customHeight="1" thickBot="1" x14ac:dyDescent="0.3">
      <c r="A27" s="2200"/>
      <c r="B27" s="2484"/>
      <c r="C27" s="2201"/>
      <c r="D27" s="2451"/>
      <c r="E27" s="2453"/>
      <c r="F27" s="2204" t="s">
        <v>200</v>
      </c>
      <c r="G27" s="2205"/>
      <c r="H27" s="1825">
        <f t="shared" si="1"/>
        <v>774.79937020459749</v>
      </c>
      <c r="I27" s="1832">
        <f t="shared" si="1"/>
        <v>7.8360000000000003</v>
      </c>
      <c r="J27" s="1833">
        <f t="shared" si="1"/>
        <v>1.851</v>
      </c>
      <c r="K27" s="1825">
        <f t="shared" si="1"/>
        <v>752.35509008198619</v>
      </c>
      <c r="L27" s="1832">
        <f t="shared" si="1"/>
        <v>7.5990000000000002</v>
      </c>
      <c r="M27" s="1833">
        <f t="shared" si="1"/>
        <v>1.839</v>
      </c>
      <c r="N27" s="1825">
        <f t="shared" si="1"/>
        <v>737.22979093701372</v>
      </c>
      <c r="O27" s="1832">
        <f t="shared" si="1"/>
        <v>7.4369999999999994</v>
      </c>
      <c r="P27" s="1833">
        <f t="shared" si="1"/>
        <v>1.839</v>
      </c>
      <c r="Q27" s="1825">
        <f t="shared" si="1"/>
        <v>727.02900872130863</v>
      </c>
      <c r="R27" s="1832">
        <f t="shared" si="1"/>
        <v>7.3350000000000009</v>
      </c>
      <c r="S27" s="1833">
        <f t="shared" si="1"/>
        <v>1.8089999999999999</v>
      </c>
      <c r="T27" s="1825">
        <f t="shared" si="1"/>
        <v>736.62964678717753</v>
      </c>
      <c r="U27" s="1832">
        <f t="shared" si="1"/>
        <v>7.431</v>
      </c>
      <c r="V27" s="1833">
        <f t="shared" si="1"/>
        <v>1.8359999999999999</v>
      </c>
      <c r="W27" s="1825">
        <f t="shared" si="1"/>
        <v>775.32294315138029</v>
      </c>
      <c r="X27" s="1832">
        <f t="shared" si="1"/>
        <v>7.8389999999999995</v>
      </c>
      <c r="Y27" s="1833">
        <f t="shared" si="1"/>
        <v>1.8599999999999999</v>
      </c>
      <c r="Z27" s="1825">
        <f t="shared" si="1"/>
        <v>866.54475605446669</v>
      </c>
      <c r="AA27" s="1832">
        <f t="shared" si="1"/>
        <v>8.8019999999999996</v>
      </c>
      <c r="AB27" s="1833">
        <f t="shared" si="1"/>
        <v>1.899</v>
      </c>
      <c r="AC27" s="1825">
        <f t="shared" si="1"/>
        <v>959.23581354743021</v>
      </c>
      <c r="AD27" s="1832">
        <f t="shared" si="1"/>
        <v>9.7680000000000007</v>
      </c>
      <c r="AE27" s="1833">
        <f t="shared" si="1"/>
        <v>1.9860000000000002</v>
      </c>
      <c r="AF27" s="1825">
        <f t="shared" si="1"/>
        <v>1035.9222032176904</v>
      </c>
      <c r="AG27" s="1832">
        <f t="shared" si="1"/>
        <v>10.557</v>
      </c>
      <c r="AH27" s="1833">
        <f t="shared" si="1"/>
        <v>2.1030000000000002</v>
      </c>
      <c r="AI27" s="1825">
        <f t="shared" si="1"/>
        <v>1077.0047760595992</v>
      </c>
      <c r="AJ27" s="1832">
        <f t="shared" si="1"/>
        <v>10.974</v>
      </c>
      <c r="AK27" s="1833">
        <f t="shared" si="1"/>
        <v>2.1959999999999997</v>
      </c>
      <c r="AL27" s="1825">
        <f t="shared" si="1"/>
        <v>1084.1065151192088</v>
      </c>
      <c r="AM27" s="1832">
        <f t="shared" si="1"/>
        <v>11.055</v>
      </c>
      <c r="AN27" s="1833">
        <f t="shared" si="1"/>
        <v>2.1630000000000003</v>
      </c>
      <c r="AO27" s="1825">
        <f t="shared" si="1"/>
        <v>1101.0348103487688</v>
      </c>
      <c r="AP27" s="1832">
        <f t="shared" si="1"/>
        <v>11.234999999999999</v>
      </c>
      <c r="AQ27" s="1833">
        <f t="shared" si="1"/>
        <v>2.1630000000000003</v>
      </c>
      <c r="AS27" s="231"/>
      <c r="AT27" s="231"/>
      <c r="AU27" s="231"/>
      <c r="AV27" s="231"/>
    </row>
    <row r="28" spans="1:48" s="230" customFormat="1" ht="16.5" customHeight="1" x14ac:dyDescent="0.25">
      <c r="A28" s="1834" t="s">
        <v>87</v>
      </c>
      <c r="B28" s="1835">
        <f>COS(ATAN(E28))</f>
        <v>0.98718989676741753</v>
      </c>
      <c r="C28" s="1836"/>
      <c r="D28" s="1837" t="s">
        <v>88</v>
      </c>
      <c r="E28" s="1838">
        <f>(J25+M25+P25+S25+V25+Y25+AB25+AE25+AH25+AK25+AN25+AQ25+AQ112+AN112+AK112+AH112+AE112+AB112+Y112+V112+S112+P112+M112+J112)/(I25+L25+O25+R25+U25+X25+AA25+AD25+AG25+AJ25+AM25+AP25+AP112+AM112+AJ112+AG112+AD112+AA112+X112+U112+R112+O112+L112+I112)</f>
        <v>0.16162007279485785</v>
      </c>
      <c r="F28" s="1838"/>
      <c r="G28" s="1839"/>
      <c r="H28" s="1840"/>
      <c r="I28" s="1841"/>
      <c r="J28" s="1841"/>
      <c r="K28" s="1841"/>
      <c r="L28" s="1841"/>
      <c r="M28" s="1841"/>
      <c r="N28" s="1841"/>
      <c r="O28" s="1841"/>
      <c r="P28" s="1841"/>
      <c r="Q28" s="1841"/>
      <c r="R28" s="1841"/>
      <c r="S28" s="1841"/>
      <c r="T28" s="1841"/>
      <c r="U28" s="1841"/>
      <c r="V28" s="1841"/>
      <c r="W28" s="1841"/>
      <c r="X28" s="1841"/>
      <c r="Y28" s="1841"/>
      <c r="Z28" s="1841"/>
      <c r="AA28" s="1841"/>
      <c r="AB28" s="1841"/>
      <c r="AC28" s="1841"/>
      <c r="AD28" s="1841"/>
      <c r="AE28" s="1841"/>
      <c r="AF28" s="1841"/>
      <c r="AG28" s="1841"/>
      <c r="AH28" s="1841"/>
      <c r="AI28" s="1841"/>
      <c r="AJ28" s="1841"/>
      <c r="AK28" s="1841"/>
      <c r="AL28" s="1841"/>
      <c r="AM28" s="1841"/>
      <c r="AN28" s="1841"/>
      <c r="AO28" s="1841"/>
      <c r="AP28" s="1841"/>
      <c r="AQ28" s="1841"/>
      <c r="AS28" s="231"/>
      <c r="AT28" s="231"/>
      <c r="AU28" s="231"/>
      <c r="AV28" s="231"/>
    </row>
    <row r="29" spans="1:48" s="230" customFormat="1" ht="16.5" customHeight="1" x14ac:dyDescent="0.25">
      <c r="A29" s="1842" t="s">
        <v>47</v>
      </c>
      <c r="B29" s="1843">
        <f>COS(ATAN(E29))</f>
        <v>0.99804960996678405</v>
      </c>
      <c r="C29" s="1844"/>
      <c r="D29" s="1845" t="s">
        <v>48</v>
      </c>
      <c r="E29" s="1846">
        <f>(J26+M26+P26+S26+V26+Y26+AB26+AE26+AH26+AK26+AN26+AQ26+AQ113+AN113+AK113+AH113+AE113+AB113+Y113+V113+S113+P113+M113+J113)/(I26+L26+O26+R26+U26+X26+AA26+AD26+AG26+AJ26+AM26+AP26+AP113+AM113+AJ113+AG113+AD113+AA113+X113+U113+R113+O113+L113+I113)</f>
        <v>6.254775679510971E-2</v>
      </c>
      <c r="F29" s="1846"/>
      <c r="G29" s="1847"/>
      <c r="H29" s="1848"/>
      <c r="I29" s="1849"/>
      <c r="J29" s="1849"/>
      <c r="K29" s="1849"/>
      <c r="L29" s="1849"/>
      <c r="M29" s="1849"/>
      <c r="N29" s="1849"/>
      <c r="O29" s="1849"/>
      <c r="P29" s="1849"/>
      <c r="Q29" s="1849"/>
      <c r="R29" s="1849"/>
      <c r="S29" s="1849"/>
      <c r="T29" s="1849"/>
      <c r="U29" s="1849"/>
      <c r="V29" s="1849"/>
      <c r="W29" s="1849"/>
      <c r="X29" s="1849"/>
      <c r="Y29" s="1849"/>
      <c r="Z29" s="1849"/>
      <c r="AA29" s="1849"/>
      <c r="AB29" s="1849"/>
      <c r="AC29" s="1849"/>
      <c r="AD29" s="1849"/>
      <c r="AE29" s="1849"/>
      <c r="AF29" s="1849"/>
      <c r="AG29" s="1849"/>
      <c r="AH29" s="1849"/>
      <c r="AI29" s="1849"/>
      <c r="AJ29" s="1849"/>
      <c r="AK29" s="1849"/>
      <c r="AL29" s="1849"/>
      <c r="AM29" s="1849"/>
      <c r="AN29" s="1849"/>
      <c r="AO29" s="1849"/>
      <c r="AP29" s="1849"/>
      <c r="AQ29" s="1850"/>
      <c r="AS29" s="231"/>
      <c r="AT29" s="231"/>
      <c r="AU29" s="231"/>
      <c r="AV29" s="231"/>
    </row>
    <row r="30" spans="1:48" s="230" customFormat="1" ht="16.5" customHeight="1" thickBot="1" x14ac:dyDescent="0.3">
      <c r="A30" s="1851" t="s">
        <v>42</v>
      </c>
      <c r="B30" s="1852">
        <f>COS(ATAN(E30))</f>
        <v>0.9794767694649249</v>
      </c>
      <c r="C30" s="1853"/>
      <c r="D30" s="1854" t="s">
        <v>43</v>
      </c>
      <c r="E30" s="1855">
        <f>(J27+M27+P27+S27+V27+Y27+AB27+AE27+AH27+AK27+AN27+AQ27+AQ114+AN114+AK114+AH114+AE114+AB114+Y114+V114+S114+P114+M114+J114)/(I27+L27+O27+R27+U27+X27+AA27+AD27+AG27+AJ27+AM27+AP27+AP114+AM114+AJ114+AG114+AD114+AA114+X114+U114+R114+O114+L114+I114)</f>
        <v>0.20578036172379571</v>
      </c>
      <c r="F30" s="1855"/>
      <c r="G30" s="1856"/>
      <c r="H30" s="1857"/>
      <c r="I30" s="1804"/>
      <c r="J30" s="1804"/>
      <c r="K30" s="1804"/>
      <c r="L30" s="1804"/>
      <c r="M30" s="1804"/>
      <c r="N30" s="1804"/>
      <c r="O30" s="1804"/>
      <c r="P30" s="1804"/>
      <c r="Q30" s="1804"/>
      <c r="R30" s="1804"/>
      <c r="S30" s="1804"/>
      <c r="T30" s="1804"/>
      <c r="U30" s="1804"/>
      <c r="V30" s="1804"/>
      <c r="W30" s="1804"/>
      <c r="X30" s="1804"/>
      <c r="Y30" s="1804"/>
      <c r="Z30" s="1804"/>
      <c r="AA30" s="1804"/>
      <c r="AB30" s="1804"/>
      <c r="AC30" s="1804"/>
      <c r="AD30" s="1804"/>
      <c r="AE30" s="1804"/>
      <c r="AF30" s="1804"/>
      <c r="AG30" s="1804"/>
      <c r="AH30" s="1804"/>
      <c r="AI30" s="1804"/>
      <c r="AJ30" s="1804"/>
      <c r="AK30" s="1804"/>
      <c r="AL30" s="1804"/>
      <c r="AM30" s="1804"/>
      <c r="AN30" s="1804"/>
      <c r="AO30" s="1804"/>
      <c r="AP30" s="1804"/>
      <c r="AQ30" s="1804"/>
      <c r="AS30" s="231"/>
      <c r="AT30" s="231"/>
      <c r="AU30" s="231"/>
      <c r="AV30" s="231"/>
    </row>
    <row r="31" spans="1:48" s="230" customFormat="1" ht="16.5" customHeight="1" thickBot="1" x14ac:dyDescent="0.3">
      <c r="A31" s="1858"/>
      <c r="B31" s="1859"/>
      <c r="C31" s="1859"/>
      <c r="D31" s="1860"/>
      <c r="E31" s="1861"/>
      <c r="F31" s="1860"/>
      <c r="G31" s="1861"/>
      <c r="H31" s="1862"/>
      <c r="I31" s="1860"/>
      <c r="J31" s="1860"/>
      <c r="K31" s="1862"/>
      <c r="L31" s="1860"/>
      <c r="M31" s="1860"/>
      <c r="N31" s="1862"/>
      <c r="O31" s="1860"/>
      <c r="P31" s="1860"/>
      <c r="Q31" s="1862"/>
      <c r="R31" s="1860"/>
      <c r="S31" s="1860"/>
      <c r="T31" s="1862"/>
      <c r="U31" s="1860"/>
      <c r="V31" s="1860"/>
      <c r="W31" s="1862"/>
      <c r="X31" s="1860"/>
      <c r="Y31" s="1860"/>
      <c r="Z31" s="1862"/>
      <c r="AA31" s="1860"/>
      <c r="AB31" s="1860"/>
      <c r="AC31" s="1862"/>
      <c r="AD31" s="1860"/>
      <c r="AE31" s="1860"/>
      <c r="AF31" s="1862"/>
      <c r="AG31" s="1860"/>
      <c r="AH31" s="1860"/>
      <c r="AI31" s="1862"/>
      <c r="AJ31" s="1860"/>
      <c r="AK31" s="1860"/>
      <c r="AL31" s="1862"/>
      <c r="AM31" s="1860"/>
      <c r="AN31" s="1860"/>
      <c r="AO31" s="1862"/>
      <c r="AP31" s="1860"/>
      <c r="AQ31" s="1860"/>
      <c r="AS31" s="231"/>
      <c r="AT31" s="231"/>
      <c r="AU31" s="231"/>
      <c r="AV31" s="231"/>
    </row>
    <row r="32" spans="1:48" s="230" customFormat="1" ht="16.5" customHeight="1" x14ac:dyDescent="0.25">
      <c r="A32" s="2430" t="s">
        <v>40</v>
      </c>
      <c r="B32" s="2431"/>
      <c r="C32" s="2431"/>
      <c r="D32" s="2466" t="s">
        <v>5</v>
      </c>
      <c r="E32" s="2467"/>
      <c r="F32" s="2467" t="s">
        <v>6</v>
      </c>
      <c r="G32" s="2468"/>
      <c r="H32" s="1808" t="s">
        <v>4</v>
      </c>
      <c r="I32" s="1809" t="s">
        <v>9</v>
      </c>
      <c r="J32" s="1810" t="s">
        <v>10</v>
      </c>
      <c r="K32" s="1808" t="s">
        <v>4</v>
      </c>
      <c r="L32" s="1809" t="s">
        <v>9</v>
      </c>
      <c r="M32" s="1810" t="s">
        <v>10</v>
      </c>
      <c r="N32" s="1808" t="s">
        <v>4</v>
      </c>
      <c r="O32" s="1809" t="s">
        <v>9</v>
      </c>
      <c r="P32" s="1810" t="s">
        <v>10</v>
      </c>
      <c r="Q32" s="1808" t="s">
        <v>4</v>
      </c>
      <c r="R32" s="1809" t="s">
        <v>9</v>
      </c>
      <c r="S32" s="1810" t="s">
        <v>10</v>
      </c>
      <c r="T32" s="1808" t="s">
        <v>4</v>
      </c>
      <c r="U32" s="1809" t="s">
        <v>9</v>
      </c>
      <c r="V32" s="1810" t="s">
        <v>10</v>
      </c>
      <c r="W32" s="1808" t="s">
        <v>4</v>
      </c>
      <c r="X32" s="1809" t="s">
        <v>9</v>
      </c>
      <c r="Y32" s="1810" t="s">
        <v>10</v>
      </c>
      <c r="Z32" s="1808" t="s">
        <v>4</v>
      </c>
      <c r="AA32" s="1809" t="s">
        <v>9</v>
      </c>
      <c r="AB32" s="1810" t="s">
        <v>10</v>
      </c>
      <c r="AC32" s="1808" t="s">
        <v>4</v>
      </c>
      <c r="AD32" s="1809" t="s">
        <v>9</v>
      </c>
      <c r="AE32" s="1810" t="s">
        <v>10</v>
      </c>
      <c r="AF32" s="1808" t="s">
        <v>4</v>
      </c>
      <c r="AG32" s="1809" t="s">
        <v>9</v>
      </c>
      <c r="AH32" s="1810" t="s">
        <v>10</v>
      </c>
      <c r="AI32" s="1808" t="s">
        <v>4</v>
      </c>
      <c r="AJ32" s="1809" t="s">
        <v>9</v>
      </c>
      <c r="AK32" s="1810" t="s">
        <v>10</v>
      </c>
      <c r="AL32" s="1808" t="s">
        <v>4</v>
      </c>
      <c r="AM32" s="1809" t="s">
        <v>9</v>
      </c>
      <c r="AN32" s="1810" t="s">
        <v>10</v>
      </c>
      <c r="AO32" s="1808" t="s">
        <v>4</v>
      </c>
      <c r="AP32" s="1809" t="s">
        <v>9</v>
      </c>
      <c r="AQ32" s="1810" t="s">
        <v>10</v>
      </c>
      <c r="AS32" s="231"/>
      <c r="AT32" s="231"/>
      <c r="AU32" s="231"/>
      <c r="AV32" s="231"/>
    </row>
    <row r="33" spans="1:48" s="230" customFormat="1" ht="18.75" customHeight="1" thickBot="1" x14ac:dyDescent="0.3">
      <c r="A33" s="2454" t="s">
        <v>89</v>
      </c>
      <c r="B33" s="2455"/>
      <c r="C33" s="2455"/>
      <c r="D33" s="1863" t="s">
        <v>7</v>
      </c>
      <c r="E33" s="1864" t="s">
        <v>8</v>
      </c>
      <c r="F33" s="1865" t="s">
        <v>7</v>
      </c>
      <c r="G33" s="1866" t="s">
        <v>8</v>
      </c>
      <c r="H33" s="1814" t="s">
        <v>30</v>
      </c>
      <c r="I33" s="1815" t="s">
        <v>31</v>
      </c>
      <c r="J33" s="1816" t="s">
        <v>32</v>
      </c>
      <c r="K33" s="1814" t="s">
        <v>30</v>
      </c>
      <c r="L33" s="1815" t="s">
        <v>31</v>
      </c>
      <c r="M33" s="1816" t="s">
        <v>32</v>
      </c>
      <c r="N33" s="1814" t="s">
        <v>30</v>
      </c>
      <c r="O33" s="1815" t="s">
        <v>31</v>
      </c>
      <c r="P33" s="1816" t="s">
        <v>32</v>
      </c>
      <c r="Q33" s="1814" t="s">
        <v>30</v>
      </c>
      <c r="R33" s="1815" t="s">
        <v>31</v>
      </c>
      <c r="S33" s="1816" t="s">
        <v>32</v>
      </c>
      <c r="T33" s="1814" t="s">
        <v>30</v>
      </c>
      <c r="U33" s="1815" t="s">
        <v>31</v>
      </c>
      <c r="V33" s="1816" t="s">
        <v>32</v>
      </c>
      <c r="W33" s="1814" t="s">
        <v>30</v>
      </c>
      <c r="X33" s="1815" t="s">
        <v>31</v>
      </c>
      <c r="Y33" s="1816" t="s">
        <v>32</v>
      </c>
      <c r="Z33" s="1814" t="s">
        <v>30</v>
      </c>
      <c r="AA33" s="1815" t="s">
        <v>31</v>
      </c>
      <c r="AB33" s="1816" t="s">
        <v>32</v>
      </c>
      <c r="AC33" s="1814" t="s">
        <v>30</v>
      </c>
      <c r="AD33" s="1815" t="s">
        <v>31</v>
      </c>
      <c r="AE33" s="1816" t="s">
        <v>32</v>
      </c>
      <c r="AF33" s="1814" t="s">
        <v>30</v>
      </c>
      <c r="AG33" s="1815">
        <v>3.4068000000000001</v>
      </c>
      <c r="AH33" s="1816">
        <v>0.51480000000000004</v>
      </c>
      <c r="AI33" s="1814" t="s">
        <v>30</v>
      </c>
      <c r="AJ33" s="1815" t="s">
        <v>31</v>
      </c>
      <c r="AK33" s="1816" t="s">
        <v>32</v>
      </c>
      <c r="AL33" s="1814" t="s">
        <v>30</v>
      </c>
      <c r="AM33" s="1815" t="s">
        <v>31</v>
      </c>
      <c r="AN33" s="1816" t="s">
        <v>32</v>
      </c>
      <c r="AO33" s="1814" t="s">
        <v>30</v>
      </c>
      <c r="AP33" s="1815" t="s">
        <v>31</v>
      </c>
      <c r="AQ33" s="1816" t="s">
        <v>32</v>
      </c>
      <c r="AS33" s="231"/>
      <c r="AT33" s="231"/>
      <c r="AU33" s="231"/>
      <c r="AV33" s="231"/>
    </row>
    <row r="34" spans="1:48" s="230" customFormat="1" ht="17.25" customHeight="1" x14ac:dyDescent="0.25">
      <c r="A34" s="1867" t="s">
        <v>398</v>
      </c>
      <c r="B34" s="1868"/>
      <c r="C34" s="1869"/>
      <c r="D34" s="1870"/>
      <c r="E34" s="1871"/>
      <c r="F34" s="1872"/>
      <c r="G34" s="1873"/>
      <c r="H34" s="1874">
        <f>SQRT(I34^2+J34^2)*1000/(SQRT(3)*H14)</f>
        <v>113.23923351670238</v>
      </c>
      <c r="I34" s="1875">
        <v>1.9607999999999999</v>
      </c>
      <c r="J34" s="1876">
        <v>0.28199999999999997</v>
      </c>
      <c r="K34" s="1874">
        <f>SQRT(L34^2+M34^2)*1000/(SQRT(3)*K14)</f>
        <v>105.27602047107804</v>
      </c>
      <c r="L34" s="1875">
        <v>1.8191999999999999</v>
      </c>
      <c r="M34" s="1876">
        <v>0.2868</v>
      </c>
      <c r="N34" s="1874">
        <f>SQRT(O34^2+P34^2)*1000/(SQRT(3)*N14)</f>
        <v>101.17836848259186</v>
      </c>
      <c r="O34" s="1875">
        <v>1.746</v>
      </c>
      <c r="P34" s="1876">
        <v>0.29039999999999999</v>
      </c>
      <c r="Q34" s="1874">
        <f>SQRT(R34^2+S34^2)*1000/(SQRT(3)*Q14)</f>
        <v>97.986937184695051</v>
      </c>
      <c r="R34" s="1875">
        <v>1.6907999999999999</v>
      </c>
      <c r="S34" s="1876">
        <v>0.28199999999999997</v>
      </c>
      <c r="T34" s="1874">
        <f>SQRT(U34^2+V34^2)*1000/(SQRT(3)*T14)</f>
        <v>99.713515719462919</v>
      </c>
      <c r="U34" s="1875">
        <v>1.722</v>
      </c>
      <c r="V34" s="1876">
        <v>0.27839999999999998</v>
      </c>
      <c r="W34" s="1874">
        <f>SQRT(X34^2+Y34^2)*1000/(SQRT(3)*W14)</f>
        <v>110.45616264513096</v>
      </c>
      <c r="X34" s="1875">
        <v>1.9116</v>
      </c>
      <c r="Y34" s="1876">
        <v>0.28199999999999997</v>
      </c>
      <c r="Z34" s="1874">
        <f>SQRT(AA34^2+AB34^2)*1000/(SQRT(3)*Z14)</f>
        <v>136.26890614833755</v>
      </c>
      <c r="AA34" s="1875">
        <v>2.3651999999999997</v>
      </c>
      <c r="AB34" s="1876">
        <v>0.29760000000000003</v>
      </c>
      <c r="AC34" s="1874">
        <f>SQRT(AD34^2+AE34^2)*1000/(SQRT(3)*AC14)</f>
        <v>152.81783808860374</v>
      </c>
      <c r="AD34" s="1875">
        <v>2.6520000000000001</v>
      </c>
      <c r="AE34" s="1876">
        <v>0.33720000000000006</v>
      </c>
      <c r="AF34" s="1874">
        <f>SQRT(AG34^2+AH34^2)*1000/(SQRT(3)*AF14)</f>
        <v>163.78524149877032</v>
      </c>
      <c r="AG34" s="1875">
        <v>2.8439999999999999</v>
      </c>
      <c r="AH34" s="1876">
        <v>0.34799999999999998</v>
      </c>
      <c r="AI34" s="1874">
        <f>SQRT(AJ34^2+AK34^2)*1000/(SQRT(3)*AI14)</f>
        <v>173.20104644589179</v>
      </c>
      <c r="AJ34" s="1875">
        <v>3.0095999999999998</v>
      </c>
      <c r="AK34" s="1876">
        <v>0.35039999999999999</v>
      </c>
      <c r="AL34" s="1874">
        <f>SQRT(AM34^2+AN34^2)*1000/(SQRT(3)*AL14)</f>
        <v>185.97276791203134</v>
      </c>
      <c r="AM34" s="1875">
        <v>3.2315999999999998</v>
      </c>
      <c r="AN34" s="1876">
        <v>0.37560000000000004</v>
      </c>
      <c r="AO34" s="1874">
        <f>SQRT(AP34^2+AQ34^2)*1000/(SQRT(3)*AO14)</f>
        <v>198.54184651396494</v>
      </c>
      <c r="AP34" s="1875">
        <v>3.4476000000000004</v>
      </c>
      <c r="AQ34" s="1876">
        <v>0.42119999999999996</v>
      </c>
      <c r="AR34" s="284"/>
      <c r="AS34" s="393"/>
      <c r="AT34" s="1877"/>
      <c r="AU34" s="1877"/>
      <c r="AV34" s="231"/>
    </row>
    <row r="35" spans="1:48" s="1887" customFormat="1" ht="17.25" customHeight="1" x14ac:dyDescent="0.25">
      <c r="A35" s="1878" t="s">
        <v>399</v>
      </c>
      <c r="B35" s="1879"/>
      <c r="C35" s="1880"/>
      <c r="D35" s="1881"/>
      <c r="E35" s="1882"/>
      <c r="F35" s="1883"/>
      <c r="G35" s="1884"/>
      <c r="H35" s="1874">
        <f>SQRT(I35^2+J35^2)*1000/(SQRT(3)*H14)</f>
        <v>3.9338549602416082</v>
      </c>
      <c r="I35" s="1875">
        <v>6.8199999999999997E-2</v>
      </c>
      <c r="J35" s="1876">
        <v>-9.1999999999999998E-3</v>
      </c>
      <c r="K35" s="1874">
        <f>SQRT(L35^2+M35^2)*1000/(SQRT(3)*K14)</f>
        <v>3.6784987610863125</v>
      </c>
      <c r="L35" s="1875">
        <v>6.3600000000000004E-2</v>
      </c>
      <c r="M35" s="1876">
        <v>-9.8000000000000014E-3</v>
      </c>
      <c r="N35" s="1874">
        <f>SQRT(O35^2+P35^2)*1000/(SQRT(3)*N14)</f>
        <v>3.5037942565271543</v>
      </c>
      <c r="O35" s="1875">
        <v>6.0600000000000001E-2</v>
      </c>
      <c r="P35" s="1876">
        <v>-9.1999999999999998E-3</v>
      </c>
      <c r="Q35" s="1874">
        <f>SQRT(R35^2+S35^2)*1000/(SQRT(3)*Q14)</f>
        <v>3.4309085602794003</v>
      </c>
      <c r="R35" s="1875">
        <v>5.9400000000000001E-2</v>
      </c>
      <c r="S35" s="1876">
        <v>-8.6000000000000017E-3</v>
      </c>
      <c r="T35" s="1874">
        <f>SQRT(U35^2+V35^2)*1000/(SQRT(3)*T14)</f>
        <v>3.4038868625866816</v>
      </c>
      <c r="U35" s="1875">
        <v>5.8799999999999998E-2</v>
      </c>
      <c r="V35" s="1876">
        <v>-9.3999999999999986E-3</v>
      </c>
      <c r="W35" s="1874">
        <f>SQRT(X35^2+Y35^2)*1000/(SQRT(3)*W14)</f>
        <v>3.7042055086723678</v>
      </c>
      <c r="X35" s="1875">
        <v>6.4200000000000007E-2</v>
      </c>
      <c r="Y35" s="1876">
        <v>-8.8000000000000005E-3</v>
      </c>
      <c r="Z35" s="1874">
        <f>SQRT(AA35^2+AB35^2)*1000/(SQRT(3)*Z14)</f>
        <v>4.1123489532952568</v>
      </c>
      <c r="AA35" s="1875">
        <v>7.1400000000000005E-2</v>
      </c>
      <c r="AB35" s="1876">
        <v>-8.8000000000000005E-3</v>
      </c>
      <c r="AC35" s="1874">
        <f>SQRT(AD35^2+AE35^2)*1000/(SQRT(3)*AC14)</f>
        <v>4.3849054729751513</v>
      </c>
      <c r="AD35" s="1875">
        <v>7.5999999999999998E-2</v>
      </c>
      <c r="AE35" s="1876">
        <v>-1.04E-2</v>
      </c>
      <c r="AF35" s="1874">
        <f>SQRT(AG35^2+AH35^2)*1000/(SQRT(3)*AF14)</f>
        <v>4.7260126846875066</v>
      </c>
      <c r="AG35" s="1875">
        <v>8.1799999999999998E-2</v>
      </c>
      <c r="AH35" s="1876">
        <v>-1.2E-2</v>
      </c>
      <c r="AI35" s="1874">
        <f>SQRT(AJ35^2+AK35^2)*1000/(SQRT(3)*AI14)</f>
        <v>4.4868712040039824</v>
      </c>
      <c r="AJ35" s="1875">
        <v>7.7800000000000008E-2</v>
      </c>
      <c r="AK35" s="1876">
        <v>-1.04E-2</v>
      </c>
      <c r="AL35" s="1874">
        <f>SQRT(AM35^2+AN35^2)*1000/(SQRT(3)*AL14)</f>
        <v>4.9137913292682756</v>
      </c>
      <c r="AM35" s="1875">
        <v>8.5400000000000004E-2</v>
      </c>
      <c r="AN35" s="1876">
        <v>-9.8000000000000014E-3</v>
      </c>
      <c r="AO35" s="1874">
        <f>SQRT(AP35^2+AQ35^2)*1000/(SQRT(3)*AO14)</f>
        <v>5.1536024621687151</v>
      </c>
      <c r="AP35" s="1875">
        <v>8.9800000000000005E-2</v>
      </c>
      <c r="AQ35" s="1876">
        <v>-8.0000000000000002E-3</v>
      </c>
      <c r="AR35" s="1885"/>
      <c r="AS35" s="1877"/>
      <c r="AT35" s="1877"/>
      <c r="AU35" s="1877"/>
      <c r="AV35" s="1886"/>
    </row>
    <row r="36" spans="1:48" s="1887" customFormat="1" ht="17.25" customHeight="1" x14ac:dyDescent="0.25">
      <c r="A36" s="1878" t="s">
        <v>400</v>
      </c>
      <c r="B36" s="1879"/>
      <c r="C36" s="1880"/>
      <c r="D36" s="1881"/>
      <c r="E36" s="1882"/>
      <c r="F36" s="1883"/>
      <c r="G36" s="1884"/>
      <c r="H36" s="1874">
        <f>SQRT(I36^2+J36^2)*1000/(SQRT(3)*H14)</f>
        <v>3.6186053224899983</v>
      </c>
      <c r="I36" s="1875">
        <v>6.3299999999999995E-2</v>
      </c>
      <c r="J36" s="1876">
        <v>5.9999999999999995E-4</v>
      </c>
      <c r="K36" s="1874">
        <f>SQRT(L36^2+M36^2)*1000/(SQRT(3)*K14)</f>
        <v>3.6184834134632267</v>
      </c>
      <c r="L36" s="1875">
        <v>6.3299999999999995E-2</v>
      </c>
      <c r="M36" s="1876">
        <v>2.9999999999999997E-4</v>
      </c>
      <c r="N36" s="1874">
        <f>SQRT(O36^2+P36^2)*1000/(SQRT(3)*N14)</f>
        <v>3.6357535736931741</v>
      </c>
      <c r="O36" s="1875">
        <v>6.3600000000000004E-2</v>
      </c>
      <c r="P36" s="1876">
        <v>5.9999999999999995E-4</v>
      </c>
      <c r="Q36" s="1874">
        <f>SQRT(R36^2+S36^2)*1000/(SQRT(3)*Q14)</f>
        <v>3.6357535736931741</v>
      </c>
      <c r="R36" s="1875">
        <v>6.3600000000000004E-2</v>
      </c>
      <c r="S36" s="1876">
        <v>5.9999999999999995E-4</v>
      </c>
      <c r="T36" s="1874">
        <f>SQRT(U36^2+V36^2)*1000/(SQRT(3)*T14)</f>
        <v>3.6184834134632267</v>
      </c>
      <c r="U36" s="1875">
        <v>6.3299999999999995E-2</v>
      </c>
      <c r="V36" s="1876">
        <v>-2.9999999999999981E-4</v>
      </c>
      <c r="W36" s="1874">
        <f>SQRT(X36^2+Y36^2)*1000/(SQRT(3)*W14)</f>
        <v>3.6357535736931741</v>
      </c>
      <c r="X36" s="1875">
        <v>6.3600000000000004E-2</v>
      </c>
      <c r="Y36" s="1876">
        <v>5.9999999999999995E-4</v>
      </c>
      <c r="Z36" s="1874">
        <f>SQRT(AA36^2+AB36^2)*1000/(SQRT(3)*Z14)</f>
        <v>3.6362388692714558</v>
      </c>
      <c r="AA36" s="1875">
        <v>6.3600000000000004E-2</v>
      </c>
      <c r="AB36" s="1876">
        <v>1.1999999999999999E-3</v>
      </c>
      <c r="AC36" s="1874">
        <f>SQRT(AD36^2+AE36^2)*1000/(SQRT(3)*AC14)</f>
        <v>3.6188084950750099</v>
      </c>
      <c r="AD36" s="1875">
        <v>6.3299999999999995E-2</v>
      </c>
      <c r="AE36" s="1876">
        <v>8.9999999999999998E-4</v>
      </c>
      <c r="AF36" s="1874">
        <f>SQRT(AG36^2+AH36^2)*1000/(SQRT(3)*AF14)</f>
        <v>3.584185766538607</v>
      </c>
      <c r="AG36" s="1875">
        <v>6.2700000000000006E-2</v>
      </c>
      <c r="AH36" s="1876">
        <v>2.9999999999999997E-4</v>
      </c>
      <c r="AI36" s="1874">
        <f>SQRT(AJ36^2+AK36^2)*1000/(SQRT(3)*AI14)</f>
        <v>3.6013345890750545</v>
      </c>
      <c r="AJ36" s="1875">
        <v>6.3E-2</v>
      </c>
      <c r="AK36" s="1876">
        <v>2.9999999999999997E-4</v>
      </c>
      <c r="AL36" s="1874">
        <f>SQRT(AM36^2+AN36^2)*1000/(SQRT(3)*AL14)</f>
        <v>2.98845932355065</v>
      </c>
      <c r="AM36" s="1875">
        <v>5.1599999999999993E-2</v>
      </c>
      <c r="AN36" s="1876">
        <v>-8.3999999999999977E-3</v>
      </c>
      <c r="AO36" s="1874">
        <f>SQRT(AP36^2+AQ36^2)*1000/(SQRT(3)*AO14)</f>
        <v>2.7327808846652539</v>
      </c>
      <c r="AP36" s="1875">
        <v>4.65E-2</v>
      </c>
      <c r="AQ36" s="1876">
        <v>-1.11E-2</v>
      </c>
      <c r="AR36" s="1885"/>
      <c r="AS36" s="1877"/>
      <c r="AT36" s="1877"/>
      <c r="AU36" s="1877"/>
      <c r="AV36" s="1886"/>
    </row>
    <row r="37" spans="1:48" s="1887" customFormat="1" ht="17.25" customHeight="1" x14ac:dyDescent="0.25">
      <c r="A37" s="1878" t="s">
        <v>401</v>
      </c>
      <c r="B37" s="1879"/>
      <c r="C37" s="1880"/>
      <c r="D37" s="1881"/>
      <c r="E37" s="1882"/>
      <c r="F37" s="1883"/>
      <c r="G37" s="1884"/>
      <c r="H37" s="1874">
        <f>SQRT(I37^2+J37^2)*1000/(SQRT(3)*H14)</f>
        <v>7.8106199335706705</v>
      </c>
      <c r="I37" s="1875">
        <v>0.1356</v>
      </c>
      <c r="J37" s="1876">
        <v>-1.6800000000000002E-2</v>
      </c>
      <c r="K37" s="1874">
        <f>SQRT(L37^2+M37^2)*1000/(SQRT(3)*K14)</f>
        <v>7.0963788156265357</v>
      </c>
      <c r="L37" s="1875">
        <v>0.123</v>
      </c>
      <c r="M37" s="1876">
        <v>-1.6800000000000002E-2</v>
      </c>
      <c r="N37" s="1874">
        <f>SQRT(O37^2+P37^2)*1000/(SQRT(3)*N14)</f>
        <v>6.9265050996021253</v>
      </c>
      <c r="O37" s="1875">
        <v>0.12</v>
      </c>
      <c r="P37" s="1876">
        <v>-1.6800000000000002E-2</v>
      </c>
      <c r="Q37" s="1874">
        <f>SQRT(R37^2+S37^2)*1000/(SQRT(3)*Q14)</f>
        <v>6.9944451190413979</v>
      </c>
      <c r="R37" s="1875">
        <v>0.12119999999999999</v>
      </c>
      <c r="S37" s="1876">
        <v>-1.6800000000000002E-2</v>
      </c>
      <c r="T37" s="1874">
        <f>SQRT(U37^2+V37^2)*1000/(SQRT(3)*T14)</f>
        <v>7.1983398406251471</v>
      </c>
      <c r="U37" s="1875">
        <v>0.12479999999999999</v>
      </c>
      <c r="V37" s="1876">
        <v>-1.6800000000000002E-2</v>
      </c>
      <c r="W37" s="1874">
        <f>SQRT(X37^2+Y37^2)*1000/(SQRT(3)*W14)</f>
        <v>7.1350631781519631</v>
      </c>
      <c r="X37" s="1875">
        <v>0.12359999999999999</v>
      </c>
      <c r="Y37" s="1876">
        <v>-1.7399999999999999E-2</v>
      </c>
      <c r="Z37" s="1874">
        <f>SQRT(AA37^2+AB37^2)*1000/(SQRT(3)*Z14)</f>
        <v>7.2663284716489605</v>
      </c>
      <c r="AA37" s="1875">
        <v>0.126</v>
      </c>
      <c r="AB37" s="1876">
        <v>-1.6800000000000002E-2</v>
      </c>
      <c r="AC37" s="1874">
        <f>SQRT(AD37^2+AE37^2)*1000/(SQRT(3)*AC14)</f>
        <v>7.3096670397586578</v>
      </c>
      <c r="AD37" s="1875">
        <v>0.12659999999999999</v>
      </c>
      <c r="AE37" s="1876">
        <v>-1.7999999999999999E-2</v>
      </c>
      <c r="AF37" s="1874">
        <f>SQRT(AG37^2+AH37^2)*1000/(SQRT(3)*AF14)</f>
        <v>8.0871393799446736</v>
      </c>
      <c r="AG37" s="1875">
        <v>0.1404</v>
      </c>
      <c r="AH37" s="1876">
        <v>-1.7399999999999999E-2</v>
      </c>
      <c r="AI37" s="1874">
        <f>SQRT(AJ37^2+AK37^2)*1000/(SQRT(3)*AI14)</f>
        <v>8.1934985380070877</v>
      </c>
      <c r="AJ37" s="1875">
        <v>0.14219999999999999</v>
      </c>
      <c r="AK37" s="1876">
        <v>-1.7999999999999999E-2</v>
      </c>
      <c r="AL37" s="1874">
        <f>SQRT(AM37^2+AN37^2)*1000/(SQRT(3)*AL14)</f>
        <v>9.0409648374301224</v>
      </c>
      <c r="AM37" s="1875">
        <v>0.15719999999999998</v>
      </c>
      <c r="AN37" s="1876">
        <v>-1.7399999999999999E-2</v>
      </c>
      <c r="AO37" s="1874">
        <f>SQRT(AP37^2+AQ37^2)*1000/(SQRT(3)*AO14)</f>
        <v>8.7082571040375587</v>
      </c>
      <c r="AP37" s="1875">
        <v>0.1512</v>
      </c>
      <c r="AQ37" s="1876">
        <v>-1.8600000000000002E-2</v>
      </c>
      <c r="AR37" s="1885"/>
      <c r="AS37" s="1877"/>
      <c r="AT37" s="1877"/>
      <c r="AU37" s="1877"/>
      <c r="AV37" s="1886"/>
    </row>
    <row r="38" spans="1:48" s="1887" customFormat="1" ht="17.25" customHeight="1" x14ac:dyDescent="0.25">
      <c r="A38" s="1878" t="s">
        <v>402</v>
      </c>
      <c r="B38" s="1879"/>
      <c r="C38" s="1880"/>
      <c r="D38" s="1881"/>
      <c r="E38" s="1882"/>
      <c r="F38" s="1883"/>
      <c r="G38" s="1884"/>
      <c r="H38" s="1874">
        <f>SQRT(I38^2+J38^2)*1000/(SQRT(3)*H14)</f>
        <v>16.254374359387576</v>
      </c>
      <c r="I38" s="1875">
        <v>0.27600000000000002</v>
      </c>
      <c r="J38" s="1876">
        <v>-6.8399999999999989E-2</v>
      </c>
      <c r="K38" s="1874">
        <f>SQRT(L38^2+M38^2)*1000/(SQRT(3)*K14)</f>
        <v>13.991749077608553</v>
      </c>
      <c r="L38" s="1875">
        <v>0.23280000000000001</v>
      </c>
      <c r="M38" s="1876">
        <v>-7.5600000000000001E-2</v>
      </c>
      <c r="N38" s="1874">
        <f>SQRT(O38^2+P38^2)*1000/(SQRT(3)*N14)</f>
        <v>13.600890310329124</v>
      </c>
      <c r="O38" s="1875">
        <v>0.22560000000000002</v>
      </c>
      <c r="P38" s="1876">
        <v>-7.5600000000000001E-2</v>
      </c>
      <c r="Q38" s="1874">
        <f>SQRT(R38^2+S38^2)*1000/(SQRT(3)*Q14)</f>
        <v>13.797192231721306</v>
      </c>
      <c r="R38" s="1875">
        <v>0.22800000000000001</v>
      </c>
      <c r="S38" s="1876">
        <v>-7.9200000000000007E-2</v>
      </c>
      <c r="T38" s="1874">
        <f>SQRT(U38^2+V38^2)*1000/(SQRT(3)*T14)</f>
        <v>13.69673068035806</v>
      </c>
      <c r="U38" s="1875">
        <v>0.22439999999999999</v>
      </c>
      <c r="V38" s="1876">
        <v>-8.4000000000000005E-2</v>
      </c>
      <c r="W38" s="1874">
        <f>SQRT(X38^2+Y38^2)*1000/(SQRT(3)*W14)</f>
        <v>13.752785318233208</v>
      </c>
      <c r="X38" s="1875">
        <v>0.22800000000000001</v>
      </c>
      <c r="Y38" s="1876">
        <v>-7.6800000000000007E-2</v>
      </c>
      <c r="Z38" s="1874">
        <f>SQRT(AA38^2+AB38^2)*1000/(SQRT(3)*Z14)</f>
        <v>16.963352207216243</v>
      </c>
      <c r="AA38" s="1875">
        <v>0.28199999999999997</v>
      </c>
      <c r="AB38" s="1876">
        <v>-9.2399999999999996E-2</v>
      </c>
      <c r="AC38" s="1874">
        <f>SQRT(AD38^2+AE38^2)*1000/(SQRT(3)*AC14)</f>
        <v>19.978421846495337</v>
      </c>
      <c r="AD38" s="1875">
        <v>0.34200000000000003</v>
      </c>
      <c r="AE38" s="1876">
        <v>-7.1999999999999981E-2</v>
      </c>
      <c r="AF38" s="1874">
        <f>SQRT(AG38^2+AH38^2)*1000/(SQRT(3)*AF14)</f>
        <v>23.9895085391307</v>
      </c>
      <c r="AG38" s="1875">
        <v>0.4128</v>
      </c>
      <c r="AH38" s="1876">
        <v>-7.5600000000000014E-2</v>
      </c>
      <c r="AI38" s="1874">
        <f>SQRT(AJ38^2+AK38^2)*1000/(SQRT(3)*AI14)</f>
        <v>32.605654614978782</v>
      </c>
      <c r="AJ38" s="1875">
        <v>0.56520000000000004</v>
      </c>
      <c r="AK38" s="1876">
        <v>-7.6799999999999993E-2</v>
      </c>
      <c r="AL38" s="1874">
        <f>SQRT(AM38^2+AN38^2)*1000/(SQRT(3)*AL14)</f>
        <v>31.11094648318026</v>
      </c>
      <c r="AM38" s="1875">
        <v>0.53879999999999995</v>
      </c>
      <c r="AN38" s="1876">
        <v>-7.6799999999999993E-2</v>
      </c>
      <c r="AO38" s="1874">
        <f>SQRT(AP38^2+AQ38^2)*1000/(SQRT(3)*AO14)</f>
        <v>30.989940846716259</v>
      </c>
      <c r="AP38" s="1875">
        <v>0.53520000000000001</v>
      </c>
      <c r="AQ38" s="1876">
        <v>-8.6400000000000005E-2</v>
      </c>
      <c r="AR38" s="1885"/>
      <c r="AS38" s="1877"/>
      <c r="AT38" s="1877"/>
      <c r="AU38" s="1877"/>
      <c r="AV38" s="1886"/>
    </row>
    <row r="39" spans="1:48" s="1887" customFormat="1" ht="17.25" customHeight="1" x14ac:dyDescent="0.25">
      <c r="A39" s="1878" t="s">
        <v>403</v>
      </c>
      <c r="B39" s="1879"/>
      <c r="C39" s="1880"/>
      <c r="D39" s="1881"/>
      <c r="E39" s="1882"/>
      <c r="F39" s="1883"/>
      <c r="G39" s="1884"/>
      <c r="H39" s="1874">
        <f>SQRT(I39^2+J39^2)*1000/(SQRT(3)*H14)</f>
        <v>3.9950955130038777</v>
      </c>
      <c r="I39" s="1875">
        <v>6.7199999999999982E-2</v>
      </c>
      <c r="J39" s="1876">
        <v>-1.9199999999999998E-2</v>
      </c>
      <c r="K39" s="1874">
        <f>SQRT(L39^2+M39^2)*1000/(SQRT(3)*K14)</f>
        <v>3.8633658291507964</v>
      </c>
      <c r="L39" s="1875">
        <v>6.4799999999999996E-2</v>
      </c>
      <c r="M39" s="1876">
        <v>-1.9199999999999998E-2</v>
      </c>
      <c r="N39" s="1874">
        <f>SQRT(O39^2+P39^2)*1000/(SQRT(3)*N14)</f>
        <v>3.5151722068149609</v>
      </c>
      <c r="O39" s="1875">
        <v>5.8799999999999998E-2</v>
      </c>
      <c r="P39" s="1876">
        <v>-1.7999999999999999E-2</v>
      </c>
      <c r="Q39" s="1874">
        <f>SQRT(R39^2+S39^2)*1000/(SQRT(3)*Q14)</f>
        <v>3.5808200633713119</v>
      </c>
      <c r="R39" s="1875">
        <v>0.06</v>
      </c>
      <c r="S39" s="1876">
        <v>-1.7999999999999999E-2</v>
      </c>
      <c r="T39" s="1874">
        <f>SQRT(U39^2+V39^2)*1000/(SQRT(3)*T14)</f>
        <v>3.3842273570832893</v>
      </c>
      <c r="U39" s="1875">
        <v>5.6400000000000006E-2</v>
      </c>
      <c r="V39" s="1876">
        <v>-1.7999999999999999E-2</v>
      </c>
      <c r="W39" s="1874">
        <f>SQRT(X39^2+Y39^2)*1000/(SQRT(3)*W14)</f>
        <v>3.7124356180036018</v>
      </c>
      <c r="X39" s="1875">
        <v>6.2399999999999997E-2</v>
      </c>
      <c r="Y39" s="1876">
        <v>-1.7999999999999999E-2</v>
      </c>
      <c r="Z39" s="1874">
        <f>SQRT(AA39^2+AB39^2)*1000/(SQRT(3)*Z14)</f>
        <v>4.277777742413563</v>
      </c>
      <c r="AA39" s="1875">
        <v>7.1999999999999995E-2</v>
      </c>
      <c r="AB39" s="1876">
        <v>-2.0399999999999998E-2</v>
      </c>
      <c r="AC39" s="1874">
        <f>SQRT(AD39^2+AE39^2)*1000/(SQRT(3)*AC14)</f>
        <v>5.0243988560152184</v>
      </c>
      <c r="AD39" s="1875">
        <v>8.5199999999999998E-2</v>
      </c>
      <c r="AE39" s="1876">
        <v>-2.1600000000000001E-2</v>
      </c>
      <c r="AF39" s="1874">
        <f>SQRT(AG39^2+AH39^2)*1000/(SQRT(3)*AF14)</f>
        <v>5.7444858545874702</v>
      </c>
      <c r="AG39" s="1875">
        <v>9.8400000000000001E-2</v>
      </c>
      <c r="AH39" s="1876">
        <v>-2.0399999999999998E-2</v>
      </c>
      <c r="AI39" s="1874">
        <f>SQRT(AJ39^2+AK39^2)*1000/(SQRT(3)*AI14)</f>
        <v>5.6248778701246724</v>
      </c>
      <c r="AJ39" s="1875">
        <v>9.6000000000000002E-2</v>
      </c>
      <c r="AK39" s="1876">
        <v>-2.1600000000000001E-2</v>
      </c>
      <c r="AL39" s="1874">
        <f>SQRT(AM39^2+AN39^2)*1000/(SQRT(3)*AL14)</f>
        <v>6.094250425298454</v>
      </c>
      <c r="AM39" s="1875">
        <v>0.10440000000000001</v>
      </c>
      <c r="AN39" s="1876">
        <v>-2.1600000000000001E-2</v>
      </c>
      <c r="AO39" s="1874">
        <f>SQRT(AP39^2+AQ39^2)*1000/(SQRT(3)*AO14)</f>
        <v>6.0270930312069071</v>
      </c>
      <c r="AP39" s="1875">
        <v>0.10319999999999999</v>
      </c>
      <c r="AQ39" s="1876">
        <v>-2.1600000000000001E-2</v>
      </c>
      <c r="AR39" s="1885"/>
      <c r="AS39" s="1877"/>
      <c r="AT39" s="1877"/>
      <c r="AU39" s="1877"/>
      <c r="AV39" s="1886"/>
    </row>
    <row r="40" spans="1:48" s="230" customFormat="1" ht="17.25" customHeight="1" x14ac:dyDescent="0.25">
      <c r="A40" s="1878" t="s">
        <v>404</v>
      </c>
      <c r="B40" s="1879"/>
      <c r="C40" s="1880"/>
      <c r="D40" s="1881"/>
      <c r="E40" s="1882"/>
      <c r="F40" s="1883"/>
      <c r="G40" s="1884"/>
      <c r="H40" s="1874">
        <f>SQRT(I40^2+J40^2)*1000/(SQRT(3)*H14)</f>
        <v>11.064240148236005</v>
      </c>
      <c r="I40" s="1875">
        <v>0.19259999999999999</v>
      </c>
      <c r="J40" s="1876">
        <v>1.9199999999999998E-2</v>
      </c>
      <c r="K40" s="1874">
        <f>SQRT(L40^2+M40^2)*1000/(SQRT(3)*K14)</f>
        <v>10.415992168470645</v>
      </c>
      <c r="L40" s="1875">
        <v>0.1812</v>
      </c>
      <c r="M40" s="1876">
        <v>1.9199999999999998E-2</v>
      </c>
      <c r="N40" s="1874">
        <f>SQRT(O40^2+P40^2)*1000/(SQRT(3)*N14)</f>
        <v>9.9007920772276847</v>
      </c>
      <c r="O40" s="1875">
        <v>0.17219999999999999</v>
      </c>
      <c r="P40" s="1876">
        <v>1.8600000000000002E-2</v>
      </c>
      <c r="Q40" s="1874">
        <f>SQRT(R40^2+S40^2)*1000/(SQRT(3)*Q14)</f>
        <v>9.6621286336075656</v>
      </c>
      <c r="R40" s="1875">
        <v>0.16800000000000001</v>
      </c>
      <c r="S40" s="1876">
        <v>1.8600000000000002E-2</v>
      </c>
      <c r="T40" s="1874">
        <f>SQRT(U40^2+V40^2)*1000/(SQRT(3)*T14)</f>
        <v>9.7266230199901678</v>
      </c>
      <c r="U40" s="1875">
        <v>0.16919999999999999</v>
      </c>
      <c r="V40" s="1876">
        <v>1.7999999999999999E-2</v>
      </c>
      <c r="W40" s="1874">
        <f>SQRT(X40^2+Y40^2)*1000/(SQRT(3)*W14)</f>
        <v>10.504889838478872</v>
      </c>
      <c r="X40" s="1875">
        <v>0.183</v>
      </c>
      <c r="Y40" s="1876">
        <v>1.6800000000000002E-2</v>
      </c>
      <c r="Z40" s="1874">
        <f>SQRT(AA40^2+AB40^2)*1000/(SQRT(3)*Z14)</f>
        <v>12.566802186880944</v>
      </c>
      <c r="AA40" s="1875">
        <v>0.219</v>
      </c>
      <c r="AB40" s="1876">
        <v>1.9199999999999998E-2</v>
      </c>
      <c r="AC40" s="1874">
        <f>SQRT(AD40^2+AE40^2)*1000/(SQRT(3)*AC14)</f>
        <v>14.586346148750872</v>
      </c>
      <c r="AD40" s="1875">
        <v>0.25440000000000002</v>
      </c>
      <c r="AE40" s="1876">
        <v>1.9799999999999998E-2</v>
      </c>
      <c r="AF40" s="1874">
        <f>SQRT(AG40^2+AH40^2)*1000/(SQRT(3)*AF14)</f>
        <v>14.809326300542299</v>
      </c>
      <c r="AG40" s="1875">
        <v>0.2586</v>
      </c>
      <c r="AH40" s="1876">
        <v>1.5599999999999999E-2</v>
      </c>
      <c r="AI40" s="1874">
        <f>SQRT(AJ40^2+AK40^2)*1000/(SQRT(3)*AI14)</f>
        <v>16.527312059656378</v>
      </c>
      <c r="AJ40" s="1875">
        <v>0.28860000000000002</v>
      </c>
      <c r="AK40" s="1876">
        <v>1.7399999999999999E-2</v>
      </c>
      <c r="AL40" s="1874">
        <f>SQRT(AM40^2+AN40^2)*1000/(SQRT(3)*AL14)</f>
        <v>16.746224520254597</v>
      </c>
      <c r="AM40" s="1875">
        <v>0.29220000000000002</v>
      </c>
      <c r="AN40" s="1876">
        <v>2.1000000000000001E-2</v>
      </c>
      <c r="AO40" s="1874">
        <f>SQRT(AP40^2+AQ40^2)*1000/(SQRT(3)*AO14)</f>
        <v>17.075634580989835</v>
      </c>
      <c r="AP40" s="1875">
        <v>0.29760000000000003</v>
      </c>
      <c r="AQ40" s="1876">
        <v>2.5799999999999997E-2</v>
      </c>
      <c r="AR40" s="284"/>
      <c r="AS40" s="393"/>
      <c r="AT40" s="393"/>
      <c r="AU40" s="393"/>
      <c r="AV40" s="231"/>
    </row>
    <row r="41" spans="1:48" s="1887" customFormat="1" ht="16.5" x14ac:dyDescent="0.25">
      <c r="A41" s="1878" t="s">
        <v>405</v>
      </c>
      <c r="B41" s="1879"/>
      <c r="C41" s="1880"/>
      <c r="D41" s="1881"/>
      <c r="E41" s="1882"/>
      <c r="F41" s="1883"/>
      <c r="G41" s="1884"/>
      <c r="H41" s="1874">
        <f>SQRT(I41^2+J41^2)*1000/(SQRT(3)*H14)</f>
        <v>3.0899761835786848</v>
      </c>
      <c r="I41" s="1875">
        <v>5.3600000000000002E-2</v>
      </c>
      <c r="J41" s="1876">
        <v>-7.0000000000000001E-3</v>
      </c>
      <c r="K41" s="1874">
        <f>SQRT(L41^2+M41^2)*1000/(SQRT(3)*K14)</f>
        <v>2.7971538276731298</v>
      </c>
      <c r="L41" s="1875">
        <v>4.8400000000000006E-2</v>
      </c>
      <c r="M41" s="1876">
        <v>-7.1999999999999998E-3</v>
      </c>
      <c r="N41" s="1874">
        <f>SQRT(O41^2+P41^2)*1000/(SQRT(3)*N14)</f>
        <v>2.5975086030113617</v>
      </c>
      <c r="O41" s="1875">
        <v>4.48E-2</v>
      </c>
      <c r="P41" s="1876">
        <v>-7.6E-3</v>
      </c>
      <c r="Q41" s="1874">
        <f>SQRT(R41^2+S41^2)*1000/(SQRT(3)*Q14)</f>
        <v>2.5956209242152379</v>
      </c>
      <c r="R41" s="1875">
        <v>4.48E-2</v>
      </c>
      <c r="S41" s="1876">
        <v>-7.3999999999999995E-3</v>
      </c>
      <c r="T41" s="1874">
        <f>SQRT(U41^2+V41^2)*1000/(SQRT(3)*T14)</f>
        <v>2.633241485850653</v>
      </c>
      <c r="U41" s="1875">
        <v>4.5399999999999996E-2</v>
      </c>
      <c r="V41" s="1876">
        <v>-7.7999999999999996E-3</v>
      </c>
      <c r="W41" s="1874">
        <f>SQRT(X41^2+Y41^2)*1000/(SQRT(3)*W14)</f>
        <v>2.9782072887953621</v>
      </c>
      <c r="X41" s="1875">
        <v>5.1599999999999993E-2</v>
      </c>
      <c r="Y41" s="1876">
        <v>-7.1999999999999989E-3</v>
      </c>
      <c r="Z41" s="1874">
        <f>SQRT(AA41^2+AB41^2)*1000/(SQRT(3)*Z14)</f>
        <v>3.4230325609335246</v>
      </c>
      <c r="AA41" s="1875">
        <v>5.9599999999999993E-2</v>
      </c>
      <c r="AB41" s="1876">
        <v>-5.8000000000000005E-3</v>
      </c>
      <c r="AC41" s="1874">
        <f>SQRT(AD41^2+AE41^2)*1000/(SQRT(3)*AC14)</f>
        <v>3.7441455133232657</v>
      </c>
      <c r="AD41" s="1875">
        <v>6.54E-2</v>
      </c>
      <c r="AE41" s="1876">
        <v>-3.5999999999999999E-3</v>
      </c>
      <c r="AF41" s="1874">
        <f>SQRT(AG41^2+AH41^2)*1000/(SQRT(3)*AF14)</f>
        <v>3.2936037066710178</v>
      </c>
      <c r="AG41" s="1875">
        <v>5.74E-2</v>
      </c>
      <c r="AH41" s="1876">
        <v>-5.0000000000000001E-3</v>
      </c>
      <c r="AI41" s="1874">
        <f>SQRT(AJ41^2+AK41^2)*1000/(SQRT(3)*AI14)</f>
        <v>3.7335879682185737</v>
      </c>
      <c r="AJ41" s="1875">
        <v>6.5000000000000002E-2</v>
      </c>
      <c r="AK41" s="1876">
        <v>-6.4000000000000003E-3</v>
      </c>
      <c r="AL41" s="1874">
        <f>SQRT(AM41^2+AN41^2)*1000/(SQRT(3)*AL14)</f>
        <v>3.6972653323084335</v>
      </c>
      <c r="AM41" s="1875">
        <v>6.4399999999999999E-2</v>
      </c>
      <c r="AN41" s="1876">
        <v>-6.0000000000000001E-3</v>
      </c>
      <c r="AO41" s="1874">
        <f>SQRT(AP41^2+AQ41^2)*1000/(SQRT(3)*AO14)</f>
        <v>3.9028324878176073</v>
      </c>
      <c r="AP41" s="1875">
        <v>6.8199999999999983E-2</v>
      </c>
      <c r="AQ41" s="1876">
        <v>-3.1999999999999993E-3</v>
      </c>
      <c r="AR41" s="1885"/>
      <c r="AS41" s="1877"/>
      <c r="AT41" s="1877"/>
      <c r="AU41" s="1877"/>
      <c r="AV41" s="1886"/>
    </row>
    <row r="42" spans="1:48" s="230" customFormat="1" ht="17.25" customHeight="1" x14ac:dyDescent="0.25">
      <c r="A42" s="1878" t="s">
        <v>406</v>
      </c>
      <c r="B42" s="1879"/>
      <c r="C42" s="1880"/>
      <c r="D42" s="1881"/>
      <c r="E42" s="1882"/>
      <c r="F42" s="1883"/>
      <c r="G42" s="1884"/>
      <c r="H42" s="1874">
        <f>SQRT(I42^2+J42^2)*1000/(SQRT(3)*H22)</f>
        <v>0</v>
      </c>
      <c r="I42" s="1875"/>
      <c r="J42" s="1876"/>
      <c r="K42" s="1874">
        <f>SQRT(L42^2+M42^2)*1000/(SQRT(3)*K22)</f>
        <v>0</v>
      </c>
      <c r="L42" s="1875"/>
      <c r="M42" s="1876"/>
      <c r="N42" s="1874">
        <f>SQRT(O42^2+P42^2)*1000/(SQRT(3)*N22)</f>
        <v>0</v>
      </c>
      <c r="O42" s="1875"/>
      <c r="P42" s="1876"/>
      <c r="Q42" s="1874">
        <f>SQRT(R42^2+S42^2)*1000/(SQRT(3)*Q22)</f>
        <v>0</v>
      </c>
      <c r="R42" s="1875"/>
      <c r="S42" s="1876"/>
      <c r="T42" s="1874">
        <f>SQRT(U42^2+V42^2)*1000/(SQRT(3)*T22)</f>
        <v>0</v>
      </c>
      <c r="U42" s="1875"/>
      <c r="V42" s="1876"/>
      <c r="W42" s="1874">
        <f>SQRT(X42^2+Y42^2)*1000/(SQRT(3)*W22)</f>
        <v>0</v>
      </c>
      <c r="X42" s="1875"/>
      <c r="Y42" s="1876"/>
      <c r="Z42" s="1874">
        <f>SQRT(AA42^2+AB42^2)*1000/(SQRT(3)*Z22)</f>
        <v>0</v>
      </c>
      <c r="AA42" s="1875"/>
      <c r="AB42" s="1876"/>
      <c r="AC42" s="1874">
        <f>SQRT(AD42^2+AE42^2)*1000/(SQRT(3)*AC22)</f>
        <v>0</v>
      </c>
      <c r="AD42" s="1875"/>
      <c r="AE42" s="1876"/>
      <c r="AF42" s="1874">
        <f>SQRT(AG42^2+AH42^2)*1000/(SQRT(3)*AF22)</f>
        <v>0</v>
      </c>
      <c r="AG42" s="1875"/>
      <c r="AH42" s="1876"/>
      <c r="AI42" s="1874">
        <f>SQRT(AJ42^2+AK42^2)*1000/(SQRT(3)*AI22)</f>
        <v>0</v>
      </c>
      <c r="AJ42" s="1875"/>
      <c r="AK42" s="1876"/>
      <c r="AL42" s="1874">
        <f>SQRT(AM42^2+AN42^2)*1000/(SQRT(3)*AL22)</f>
        <v>0</v>
      </c>
      <c r="AM42" s="1875"/>
      <c r="AN42" s="1876"/>
      <c r="AO42" s="1874">
        <f>SQRT(AP42^2+AQ42^2)*1000/(SQRT(3)*AO22)</f>
        <v>0</v>
      </c>
      <c r="AP42" s="1875"/>
      <c r="AQ42" s="1876"/>
      <c r="AR42" s="284"/>
      <c r="AS42" s="393"/>
      <c r="AT42" s="393"/>
      <c r="AU42" s="393"/>
      <c r="AV42" s="231"/>
    </row>
    <row r="43" spans="1:48" s="1887" customFormat="1" ht="17.25" customHeight="1" x14ac:dyDescent="0.25">
      <c r="A43" s="1878" t="s">
        <v>407</v>
      </c>
      <c r="B43" s="1879"/>
      <c r="C43" s="1880"/>
      <c r="D43" s="1881"/>
      <c r="E43" s="1882"/>
      <c r="F43" s="1883"/>
      <c r="G43" s="1884"/>
      <c r="H43" s="1874">
        <f>SQRT(I43^2+J43^2)*1000/(SQRT(3)*H22)</f>
        <v>1.4267735546324136</v>
      </c>
      <c r="I43" s="1875">
        <v>2.4300000000000002E-2</v>
      </c>
      <c r="J43" s="1876">
        <v>-5.7000000000000002E-3</v>
      </c>
      <c r="K43" s="1874">
        <f>SQRT(L43^2+M43^2)*1000/(SQRT(3)*K22)</f>
        <v>1.3239219525106363</v>
      </c>
      <c r="L43" s="1875">
        <v>2.2200000000000004E-2</v>
      </c>
      <c r="M43" s="1876">
        <v>-6.6E-3</v>
      </c>
      <c r="N43" s="1874">
        <f>SQRT(O43^2+P43^2)*1000/(SQRT(3)*N22)</f>
        <v>1.2155254854037867</v>
      </c>
      <c r="O43" s="1875">
        <v>2.0399999999999998E-2</v>
      </c>
      <c r="P43" s="1876">
        <v>-6.0000000000000001E-3</v>
      </c>
      <c r="Q43" s="1874">
        <f>SQRT(R43^2+S43^2)*1000/(SQRT(3)*Q22)</f>
        <v>1.1826607304268606</v>
      </c>
      <c r="R43" s="1875">
        <v>1.9800000000000002E-2</v>
      </c>
      <c r="S43" s="1876">
        <v>-6.0000000000000001E-3</v>
      </c>
      <c r="T43" s="1874">
        <f>SQRT(U43^2+V43^2)*1000/(SQRT(3)*T22)</f>
        <v>1.1930590361498672</v>
      </c>
      <c r="U43" s="1875">
        <v>1.9800000000000002E-2</v>
      </c>
      <c r="V43" s="1876">
        <v>-6.6E-3</v>
      </c>
      <c r="W43" s="1874">
        <f>SQRT(X43^2+Y43^2)*1000/(SQRT(3)*W22)</f>
        <v>1.4228518549853226</v>
      </c>
      <c r="X43" s="1875">
        <v>2.4E-2</v>
      </c>
      <c r="Y43" s="1876">
        <v>-6.6E-3</v>
      </c>
      <c r="Z43" s="1874">
        <f>SQRT(AA43^2+AB43^2)*1000/(SQRT(3)*Z22)</f>
        <v>1.6297883836477034</v>
      </c>
      <c r="AA43" s="1875">
        <v>2.8200000000000003E-2</v>
      </c>
      <c r="AB43" s="1876">
        <v>-4.2000000000000006E-3</v>
      </c>
      <c r="AC43" s="1874">
        <f>SQRT(AD43^2+AE43^2)*1000/(SQRT(3)*AC22)</f>
        <v>1.5933827971830832</v>
      </c>
      <c r="AD43" s="1875">
        <v>2.7600000000000003E-2</v>
      </c>
      <c r="AE43" s="1876">
        <v>-3.8999999999999998E-3</v>
      </c>
      <c r="AF43" s="1874">
        <f>SQRT(AG43^2+AH43^2)*1000/(SQRT(3)*AF22)</f>
        <v>1.8464483827695624</v>
      </c>
      <c r="AG43" s="1875">
        <v>3.2100000000000004E-2</v>
      </c>
      <c r="AH43" s="1876">
        <v>-3.6000000000000003E-3</v>
      </c>
      <c r="AI43" s="1874">
        <f>SQRT(AJ43^2+AK43^2)*1000/(SQRT(3)*AI22)</f>
        <v>1.7488635378867028</v>
      </c>
      <c r="AJ43" s="1875">
        <v>0.03</v>
      </c>
      <c r="AK43" s="1876">
        <v>-6.0000000000000001E-3</v>
      </c>
      <c r="AL43" s="1874">
        <f>SQRT(AM43^2+AN43^2)*1000/(SQRT(3)*AL22)</f>
        <v>1.9173184882214942</v>
      </c>
      <c r="AM43" s="1875">
        <v>3.3000000000000002E-2</v>
      </c>
      <c r="AN43" s="1876">
        <v>-6.0000000000000001E-3</v>
      </c>
      <c r="AO43" s="1874">
        <f>SQRT(AP43^2+AQ43^2)*1000/(SQRT(3)*AO22)</f>
        <v>1.8229656078734628</v>
      </c>
      <c r="AP43" s="1875">
        <v>3.1200000000000002E-2</v>
      </c>
      <c r="AQ43" s="1876">
        <v>-6.6E-3</v>
      </c>
      <c r="AR43" s="1885"/>
      <c r="AS43" s="1877"/>
      <c r="AT43" s="1877"/>
      <c r="AU43" s="1877"/>
      <c r="AV43" s="1886"/>
    </row>
    <row r="44" spans="1:48" s="1887" customFormat="1" ht="17.25" customHeight="1" x14ac:dyDescent="0.25">
      <c r="A44" s="1878" t="s">
        <v>408</v>
      </c>
      <c r="B44" s="1879"/>
      <c r="C44" s="1880"/>
      <c r="D44" s="1881"/>
      <c r="E44" s="1882"/>
      <c r="F44" s="1883"/>
      <c r="G44" s="1884"/>
      <c r="H44" s="1874">
        <f>SQRT(I44^2+J44^2)*1000/(SQRT(3)*H22)</f>
        <v>6.145237563455364</v>
      </c>
      <c r="I44" s="1875">
        <v>0.1071</v>
      </c>
      <c r="J44" s="1876">
        <v>-9.300000000000001E-3</v>
      </c>
      <c r="K44" s="1874">
        <f>SQRT(L44^2+M44^2)*1000/(SQRT(3)*K22)</f>
        <v>6.162322469158898</v>
      </c>
      <c r="L44" s="1875">
        <v>0.10740000000000001</v>
      </c>
      <c r="M44" s="1876">
        <v>-9.300000000000001E-3</v>
      </c>
      <c r="N44" s="1874">
        <f>SQRT(O44^2+P44^2)*1000/(SQRT(3)*N22)</f>
        <v>6.145237563455364</v>
      </c>
      <c r="O44" s="1875">
        <v>0.1071</v>
      </c>
      <c r="P44" s="1876">
        <v>-9.300000000000001E-3</v>
      </c>
      <c r="Q44" s="1874">
        <f>SQRT(R44^2+S44^2)*1000/(SQRT(3)*Q22)</f>
        <v>6.162322469158898</v>
      </c>
      <c r="R44" s="1875">
        <v>0.10740000000000001</v>
      </c>
      <c r="S44" s="1876">
        <v>-9.300000000000001E-3</v>
      </c>
      <c r="T44" s="1874">
        <f>SQRT(U44^2+V44^2)*1000/(SQRT(3)*T22)</f>
        <v>6.162322469158898</v>
      </c>
      <c r="U44" s="1875">
        <v>0.10740000000000001</v>
      </c>
      <c r="V44" s="1876">
        <v>-9.300000000000001E-3</v>
      </c>
      <c r="W44" s="1874">
        <f>SQRT(X44^2+Y44^2)*1000/(SQRT(3)*W22)</f>
        <v>6.162322469158898</v>
      </c>
      <c r="X44" s="1875">
        <v>0.10740000000000001</v>
      </c>
      <c r="Y44" s="1876">
        <v>-9.300000000000001E-3</v>
      </c>
      <c r="Z44" s="1874">
        <f>SQRT(AA44^2+AB44^2)*1000/(SQRT(3)*Z22)</f>
        <v>6.1125845461907495</v>
      </c>
      <c r="AA44" s="1875">
        <v>0.1065</v>
      </c>
      <c r="AB44" s="1876">
        <v>-9.5999999999999992E-3</v>
      </c>
      <c r="AC44" s="1874">
        <f>SQRT(AD44^2+AE44^2)*1000/(SQRT(3)*AC22)</f>
        <v>6.0955049720774674</v>
      </c>
      <c r="AD44" s="1875">
        <v>0.1062</v>
      </c>
      <c r="AE44" s="1876">
        <v>-9.5999999999999992E-3</v>
      </c>
      <c r="AF44" s="1874">
        <f>SQRT(AG44^2+AH44^2)*1000/(SQRT(3)*AF22)</f>
        <v>6.2121355723911629</v>
      </c>
      <c r="AG44" s="1875">
        <v>0.10829999999999999</v>
      </c>
      <c r="AH44" s="1876">
        <v>-8.9999999999999993E-3</v>
      </c>
      <c r="AI44" s="1874">
        <f>SQRT(AJ44^2+AK44^2)*1000/(SQRT(3)*AI22)</f>
        <v>6.3553482923030105</v>
      </c>
      <c r="AJ44" s="1875">
        <v>0.111</v>
      </c>
      <c r="AK44" s="1876">
        <v>-6.3E-3</v>
      </c>
      <c r="AL44" s="1874">
        <f>SQRT(AM44^2+AN44^2)*1000/(SQRT(3)*AL22)</f>
        <v>6.7510959364754815</v>
      </c>
      <c r="AM44" s="1875">
        <v>0.1179</v>
      </c>
      <c r="AN44" s="1876">
        <v>-6.9000000000000008E-3</v>
      </c>
      <c r="AO44" s="1874">
        <f>SQRT(AP44^2+AQ44^2)*1000/(SQRT(3)*AO22)</f>
        <v>6.7065816499691691</v>
      </c>
      <c r="AP44" s="1875">
        <v>0.11700000000000001</v>
      </c>
      <c r="AQ44" s="1876">
        <v>-8.6999999999999994E-3</v>
      </c>
      <c r="AR44" s="1885"/>
      <c r="AS44" s="1877"/>
      <c r="AT44" s="1877"/>
      <c r="AU44" s="1877"/>
      <c r="AV44" s="1886"/>
    </row>
    <row r="45" spans="1:48" s="230" customFormat="1" ht="17.25" customHeight="1" x14ac:dyDescent="0.25">
      <c r="A45" s="1878" t="s">
        <v>409</v>
      </c>
      <c r="B45" s="1879"/>
      <c r="C45" s="1880"/>
      <c r="D45" s="1881"/>
      <c r="E45" s="1882"/>
      <c r="F45" s="1883"/>
      <c r="G45" s="1884"/>
      <c r="H45" s="1874">
        <f>SQRT(I45^2+J45^2)*1000/(SQRT(3)*H23)</f>
        <v>17.992961586872426</v>
      </c>
      <c r="I45" s="1875">
        <v>0.186</v>
      </c>
      <c r="J45" s="1876">
        <v>1.9199999999999998E-2</v>
      </c>
      <c r="K45" s="1874">
        <f>SQRT(L45^2+M45^2)*1000/(SQRT(3)*K23)</f>
        <v>15.876397576276553</v>
      </c>
      <c r="L45" s="1875">
        <v>0.1638</v>
      </c>
      <c r="M45" s="1876">
        <v>1.9799999999999998E-2</v>
      </c>
      <c r="N45" s="1874">
        <f>SQRT(O45^2+P45^2)*1000/(SQRT(3)*N23)</f>
        <v>15.410926859428885</v>
      </c>
      <c r="O45" s="1875">
        <v>0.159</v>
      </c>
      <c r="P45" s="1876">
        <v>1.9199999999999998E-2</v>
      </c>
      <c r="Q45" s="1874">
        <f>SQRT(R45^2+S45^2)*1000/(SQRT(3)*Q23)</f>
        <v>15.260952351235051</v>
      </c>
      <c r="R45" s="1875">
        <v>0.15719999999999998</v>
      </c>
      <c r="S45" s="1876">
        <v>2.1000000000000001E-2</v>
      </c>
      <c r="T45" s="1874">
        <f>SQRT(U45^2+V45^2)*1000/(SQRT(3)*T23)</f>
        <v>15.640225914821904</v>
      </c>
      <c r="U45" s="1875">
        <v>0.16140000000000002</v>
      </c>
      <c r="V45" s="1876">
        <v>1.9199999999999998E-2</v>
      </c>
      <c r="W45" s="1874">
        <f>SQRT(X45^2+Y45^2)*1000/(SQRT(3)*W23)</f>
        <v>16.621772869743268</v>
      </c>
      <c r="X45" s="1875">
        <v>0.1716</v>
      </c>
      <c r="Y45" s="1876">
        <v>1.9799999999999998E-2</v>
      </c>
      <c r="Z45" s="1874">
        <f>SQRT(AA45^2+AB45^2)*1000/(SQRT(3)*Z23)</f>
        <v>19.407902170679517</v>
      </c>
      <c r="AA45" s="1875">
        <v>0.20039999999999999</v>
      </c>
      <c r="AB45" s="1876">
        <v>2.2800000000000001E-2</v>
      </c>
      <c r="AC45" s="1874">
        <f>SQRT(AD45^2+AE45^2)*1000/(SQRT(3)*AC23)</f>
        <v>21.311968468445141</v>
      </c>
      <c r="AD45" s="1875">
        <v>0.21959999999999999</v>
      </c>
      <c r="AE45" s="1876">
        <v>2.8799999999999999E-2</v>
      </c>
      <c r="AF45" s="1874">
        <f>SQRT(AG45^2+AH45^2)*1000/(SQRT(3)*AF23)</f>
        <v>22.70836850150182</v>
      </c>
      <c r="AG45" s="1875">
        <v>0.23400000000000001</v>
      </c>
      <c r="AH45" s="1876">
        <v>3.0600000000000002E-2</v>
      </c>
      <c r="AI45" s="1874">
        <f>SQRT(AJ45^2+AK45^2)*1000/(SQRT(3)*AI23)</f>
        <v>27.307752257066735</v>
      </c>
      <c r="AJ45" s="1875">
        <v>0.2802</v>
      </c>
      <c r="AK45" s="1876">
        <v>4.4999999999999998E-2</v>
      </c>
      <c r="AL45" s="1874">
        <f>SQRT(AM45^2+AN45^2)*1000/(SQRT(3)*AL23)</f>
        <v>27.763105013668763</v>
      </c>
      <c r="AM45" s="1875">
        <v>0.28439999999999999</v>
      </c>
      <c r="AN45" s="1876">
        <v>4.8599999999999997E-2</v>
      </c>
      <c r="AO45" s="1874">
        <f>SQRT(AP45^2+AQ45^2)*1000/(SQRT(3)*AO23)</f>
        <v>28.753028825963131</v>
      </c>
      <c r="AP45" s="1875">
        <v>0.29399999999999998</v>
      </c>
      <c r="AQ45" s="1876">
        <v>5.3399999999999996E-2</v>
      </c>
      <c r="AR45" s="284"/>
      <c r="AS45" s="393"/>
      <c r="AT45" s="393"/>
      <c r="AU45" s="393"/>
      <c r="AV45" s="231"/>
    </row>
    <row r="46" spans="1:48" s="1887" customFormat="1" ht="17.25" customHeight="1" x14ac:dyDescent="0.25">
      <c r="A46" s="1878" t="s">
        <v>410</v>
      </c>
      <c r="B46" s="1879"/>
      <c r="C46" s="1880"/>
      <c r="D46" s="1881"/>
      <c r="E46" s="1882"/>
      <c r="F46" s="1883"/>
      <c r="G46" s="1884"/>
      <c r="H46" s="1874">
        <f>SQRT(I46^2+J46^2)*1000/(SQRT(3)*H22)</f>
        <v>4.1613693738772124</v>
      </c>
      <c r="I46" s="1875">
        <v>7.2400000000000006E-2</v>
      </c>
      <c r="J46" s="1876">
        <v>-7.6E-3</v>
      </c>
      <c r="K46" s="1874">
        <f>SQRT(L46^2+M46^2)*1000/(SQRT(3)*K22)</f>
        <v>3.8205165571410906</v>
      </c>
      <c r="L46" s="1875">
        <v>6.6599999999999993E-2</v>
      </c>
      <c r="M46" s="1876">
        <v>-5.6000000000000008E-3</v>
      </c>
      <c r="N46" s="1874">
        <f>SQRT(O46^2+P46^2)*1000/(SQRT(3)*N22)</f>
        <v>3.5140751245966593</v>
      </c>
      <c r="O46" s="1875">
        <v>6.1200000000000004E-2</v>
      </c>
      <c r="P46" s="1876">
        <v>-5.8000000000000005E-3</v>
      </c>
      <c r="Q46" s="1874">
        <f>SQRT(R46^2+S46^2)*1000/(SQRT(3)*Q22)</f>
        <v>3.4404005454044166</v>
      </c>
      <c r="R46" s="1875">
        <v>5.9799999999999999E-2</v>
      </c>
      <c r="S46" s="1876">
        <v>-6.7999999999999996E-3</v>
      </c>
      <c r="T46" s="1874">
        <f>SQRT(U46^2+V46^2)*1000/(SQRT(3)*T22)</f>
        <v>3.4037908635212299</v>
      </c>
      <c r="U46" s="1875">
        <v>5.9200000000000003E-2</v>
      </c>
      <c r="V46" s="1876">
        <v>-6.3999999999999994E-3</v>
      </c>
      <c r="W46" s="1874">
        <f>SQRT(X46^2+Y46^2)*1000/(SQRT(3)*W22)</f>
        <v>3.5618069356528421</v>
      </c>
      <c r="X46" s="1875">
        <v>6.2E-2</v>
      </c>
      <c r="Y46" s="1876">
        <v>-6.1999999999999998E-3</v>
      </c>
      <c r="Z46" s="1874">
        <f>SQRT(AA46^2+AB46^2)*1000/(SQRT(3)*Z22)</f>
        <v>3.8748011028408262</v>
      </c>
      <c r="AA46" s="1875">
        <v>6.7599999999999993E-2</v>
      </c>
      <c r="AB46" s="1876">
        <v>-5.0000000000000001E-3</v>
      </c>
      <c r="AC46" s="1874">
        <f>SQRT(AD46^2+AE46^2)*1000/(SQRT(3)*AC22)</f>
        <v>4.1426701741289005</v>
      </c>
      <c r="AD46" s="1875">
        <v>7.2400000000000006E-2</v>
      </c>
      <c r="AE46" s="1876">
        <v>-3.1999999999999993E-3</v>
      </c>
      <c r="AF46" s="1874">
        <f>SQRT(AG46^2+AH46^2)*1000/(SQRT(3)*AF22)</f>
        <v>4.6719386151590925</v>
      </c>
      <c r="AG46" s="1875">
        <v>8.1599999999999992E-2</v>
      </c>
      <c r="AH46" s="1876">
        <v>-4.6000000000000008E-3</v>
      </c>
      <c r="AI46" s="1874">
        <f>SQRT(AJ46^2+AK46^2)*1000/(SQRT(3)*AI22)</f>
        <v>4.5007306243169865</v>
      </c>
      <c r="AJ46" s="1875">
        <v>7.8599999999999989E-2</v>
      </c>
      <c r="AK46" s="1876">
        <v>-4.6000000000000008E-3</v>
      </c>
      <c r="AL46" s="1874">
        <f>SQRT(AM46^2+AN46^2)*1000/(SQRT(3)*AL22)</f>
        <v>4.5673658313648584</v>
      </c>
      <c r="AM46" s="1875">
        <v>7.9799999999999996E-2</v>
      </c>
      <c r="AN46" s="1876">
        <v>-4.0000000000000001E-3</v>
      </c>
      <c r="AO46" s="1874">
        <f>SQRT(AP46^2+AQ46^2)*1000/(SQRT(3)*AO22)</f>
        <v>4.510275024068128</v>
      </c>
      <c r="AP46" s="1875">
        <v>7.8800000000000009E-2</v>
      </c>
      <c r="AQ46" s="1876">
        <v>-4.000000000000001E-3</v>
      </c>
      <c r="AR46" s="1885"/>
      <c r="AS46" s="1877"/>
      <c r="AT46" s="1877"/>
      <c r="AU46" s="1877"/>
      <c r="AV46" s="1886"/>
    </row>
    <row r="47" spans="1:48" s="1887" customFormat="1" ht="17.25" customHeight="1" x14ac:dyDescent="0.25">
      <c r="A47" s="1878" t="s">
        <v>411</v>
      </c>
      <c r="B47" s="1879"/>
      <c r="C47" s="1880"/>
      <c r="D47" s="1881"/>
      <c r="E47" s="1882"/>
      <c r="F47" s="1883"/>
      <c r="G47" s="1884"/>
      <c r="H47" s="1874">
        <f>SQRT(I47^2+J47^2)*1000/(SQRT(3)*H22)</f>
        <v>10.535472312402863</v>
      </c>
      <c r="I47" s="1875">
        <v>0.18</v>
      </c>
      <c r="J47" s="1876">
        <v>-3.9599999999999996E-2</v>
      </c>
      <c r="K47" s="1874">
        <f>SQRT(L47^2+M47^2)*1000/(SQRT(3)*K22)</f>
        <v>10.198692662604946</v>
      </c>
      <c r="L47" s="1875">
        <v>0.17280000000000001</v>
      </c>
      <c r="M47" s="1876">
        <v>-4.4400000000000009E-2</v>
      </c>
      <c r="N47" s="1874">
        <f>SQRT(O47^2+P47^2)*1000/(SQRT(3)*N22)</f>
        <v>9.9806694843849897</v>
      </c>
      <c r="O47" s="1875">
        <v>0.1668</v>
      </c>
      <c r="P47" s="1876">
        <v>-5.16E-2</v>
      </c>
      <c r="Q47" s="1874">
        <f>SQRT(R47^2+S47^2)*1000/(SQRT(3)*Q22)</f>
        <v>9.7638020367438969</v>
      </c>
      <c r="R47" s="1875">
        <v>0.1608</v>
      </c>
      <c r="S47" s="1876">
        <v>-5.7599999999999998E-2</v>
      </c>
      <c r="T47" s="1874">
        <f>SQRT(U47^2+V47^2)*1000/(SQRT(3)*T22)</f>
        <v>9.7833005328842741</v>
      </c>
      <c r="U47" s="1875">
        <v>0.16200000000000001</v>
      </c>
      <c r="V47" s="1876">
        <v>-5.5200000000000006E-2</v>
      </c>
      <c r="W47" s="1874">
        <f>SQRT(X47^2+Y47^2)*1000/(SQRT(3)*W22)</f>
        <v>10.022071515364111</v>
      </c>
      <c r="X47" s="1875">
        <v>0.1668</v>
      </c>
      <c r="Y47" s="1876">
        <v>-5.3999999999999999E-2</v>
      </c>
      <c r="Z47" s="1874">
        <f>SQRT(AA47^2+AB47^2)*1000/(SQRT(3)*Z22)</f>
        <v>10.308827970439001</v>
      </c>
      <c r="AA47" s="1875">
        <v>0.17280000000000001</v>
      </c>
      <c r="AB47" s="1876">
        <v>-5.16E-2</v>
      </c>
      <c r="AC47" s="1874">
        <f>SQRT(AD47^2+AE47^2)*1000/(SQRT(3)*AC22)</f>
        <v>12.860437163444276</v>
      </c>
      <c r="AD47" s="1875">
        <v>0.21840000000000001</v>
      </c>
      <c r="AE47" s="1876">
        <v>-5.3999999999999999E-2</v>
      </c>
      <c r="AF47" s="1874">
        <f>SQRT(AG47^2+AH47^2)*1000/(SQRT(3)*AF22)</f>
        <v>16.749806683040365</v>
      </c>
      <c r="AG47" s="1875">
        <v>0.27600000000000002</v>
      </c>
      <c r="AH47" s="1876">
        <v>-9.8400000000000001E-2</v>
      </c>
      <c r="AI47" s="1874">
        <f>SQRT(AJ47^2+AK47^2)*1000/(SQRT(3)*AI22)</f>
        <v>19.553249743503272</v>
      </c>
      <c r="AJ47" s="1875">
        <v>0.3276</v>
      </c>
      <c r="AK47" s="1876">
        <v>-9.8400000000000001E-2</v>
      </c>
      <c r="AL47" s="1874">
        <f>SQRT(AM47^2+AN47^2)*1000/(SQRT(3)*AL22)</f>
        <v>20.202678554158858</v>
      </c>
      <c r="AM47" s="1875">
        <v>0.34079999999999994</v>
      </c>
      <c r="AN47" s="1876">
        <v>-9.3600000000000003E-2</v>
      </c>
      <c r="AO47" s="1874">
        <f>SQRT(AP47^2+AQ47^2)*1000/(SQRT(3)*AO22)</f>
        <v>20.447153102403721</v>
      </c>
      <c r="AP47" s="1875">
        <v>0.34320000000000001</v>
      </c>
      <c r="AQ47" s="1876">
        <v>-0.1008</v>
      </c>
      <c r="AR47" s="1885"/>
      <c r="AS47" s="1877"/>
      <c r="AT47" s="1877"/>
      <c r="AU47" s="1877"/>
      <c r="AV47" s="1886"/>
    </row>
    <row r="48" spans="1:48" s="230" customFormat="1" ht="17.25" customHeight="1" x14ac:dyDescent="0.25">
      <c r="A48" s="1878" t="s">
        <v>412</v>
      </c>
      <c r="B48" s="1879"/>
      <c r="C48" s="1880"/>
      <c r="D48" s="1881"/>
      <c r="E48" s="1882"/>
      <c r="F48" s="1883"/>
      <c r="G48" s="1884"/>
      <c r="H48" s="1874">
        <f>SQRT(I48^2+J48^2)*1000/(SQRT(3)*H22)</f>
        <v>134.94871532935116</v>
      </c>
      <c r="I48" s="1875">
        <v>2.3483999999999998</v>
      </c>
      <c r="J48" s="1876">
        <v>0.2412</v>
      </c>
      <c r="K48" s="1874">
        <f>SQRT(L48^2+M48^2)*1000/(SQRT(3)*K22)</f>
        <v>125.5432738792172</v>
      </c>
      <c r="L48" s="1875">
        <v>2.1828000000000003</v>
      </c>
      <c r="M48" s="1876">
        <v>0.2424</v>
      </c>
      <c r="N48" s="1874">
        <f>SQRT(O48^2+P48^2)*1000/(SQRT(3)*N22)</f>
        <v>121.68156191287937</v>
      </c>
      <c r="O48" s="1875">
        <v>2.1144000000000003</v>
      </c>
      <c r="P48" s="1876">
        <v>0.246</v>
      </c>
      <c r="Q48" s="1874">
        <f>SQRT(R48^2+S48^2)*1000/(SQRT(3)*Q22)</f>
        <v>120.1667109793937</v>
      </c>
      <c r="R48" s="1875">
        <v>2.0880000000000001</v>
      </c>
      <c r="S48" s="1876">
        <v>0.24360000000000001</v>
      </c>
      <c r="T48" s="1874">
        <f>SQRT(U48^2+V48^2)*1000/(SQRT(3)*T22)</f>
        <v>121.24124248184413</v>
      </c>
      <c r="U48" s="1875">
        <v>2.1071999999999997</v>
      </c>
      <c r="V48" s="1876">
        <v>0.2412</v>
      </c>
      <c r="W48" s="1874">
        <f>SQRT(X48^2+Y48^2)*1000/(SQRT(3)*W22)</f>
        <v>134.62165611471698</v>
      </c>
      <c r="X48" s="1875">
        <v>2.3424</v>
      </c>
      <c r="Y48" s="1876">
        <v>0.24360000000000001</v>
      </c>
      <c r="Z48" s="1874">
        <f>SQRT(AA48^2+AB48^2)*1000/(SQRT(3)*Z22)</f>
        <v>162.32822279714267</v>
      </c>
      <c r="AA48" s="1875">
        <v>2.8271999999999999</v>
      </c>
      <c r="AB48" s="1876">
        <v>0.26639999999999997</v>
      </c>
      <c r="AC48" s="1874">
        <f>SQRT(AD48^2+AE48^2)*1000/(SQRT(3)*AC22)</f>
        <v>177.32578071622018</v>
      </c>
      <c r="AD48" s="1875">
        <v>3.0888</v>
      </c>
      <c r="AE48" s="1876">
        <v>0.2868</v>
      </c>
      <c r="AF48" s="1874">
        <f>SQRT(AG48^2+AH48^2)*1000/(SQRT(3)*AF22)</f>
        <v>188.18293018814086</v>
      </c>
      <c r="AG48" s="1875">
        <v>3.2771999999999997</v>
      </c>
      <c r="AH48" s="1876">
        <v>0.312</v>
      </c>
      <c r="AI48" s="1874">
        <f>SQRT(AJ48^2+AK48^2)*1000/(SQRT(3)*AI22)</f>
        <v>204.86871090283535</v>
      </c>
      <c r="AJ48" s="1875">
        <v>3.5688</v>
      </c>
      <c r="AK48" s="1876">
        <v>0.32879999999999998</v>
      </c>
      <c r="AL48" s="1874">
        <f>SQRT(AM48^2+AN48^2)*1000/(SQRT(3)*AL22)</f>
        <v>213.34596856677589</v>
      </c>
      <c r="AM48" s="1875">
        <v>3.7163999999999997</v>
      </c>
      <c r="AN48" s="1876">
        <v>0.34320000000000006</v>
      </c>
      <c r="AO48" s="1874">
        <f>SQRT(AP48^2+AQ48^2)*1000/(SQRT(3)*AO22)</f>
        <v>211.73848437660399</v>
      </c>
      <c r="AP48" s="1875">
        <v>3.69</v>
      </c>
      <c r="AQ48" s="1876">
        <v>0.32280000000000003</v>
      </c>
      <c r="AR48" s="284"/>
      <c r="AS48" s="393"/>
      <c r="AT48" s="393"/>
      <c r="AU48" s="393"/>
      <c r="AV48" s="231"/>
    </row>
    <row r="49" spans="1:48" s="1887" customFormat="1" ht="17.25" customHeight="1" thickBot="1" x14ac:dyDescent="0.3">
      <c r="A49" s="1878" t="s">
        <v>413</v>
      </c>
      <c r="B49" s="1879"/>
      <c r="C49" s="1880"/>
      <c r="D49" s="1881"/>
      <c r="E49" s="1882"/>
      <c r="F49" s="1883"/>
      <c r="G49" s="1884"/>
      <c r="H49" s="1888">
        <f>SQRT(I49^2+J49^2)*1000/(SQRT(3)*H22)</f>
        <v>4.885514119410538</v>
      </c>
      <c r="I49" s="1875">
        <v>8.2200000000000009E-2</v>
      </c>
      <c r="J49" s="1876">
        <v>-2.3400000000000001E-2</v>
      </c>
      <c r="K49" s="1888">
        <f>SQRT(L49^2+M49^2)*1000/(SQRT(3)*K22)</f>
        <v>4.6879280022227423</v>
      </c>
      <c r="L49" s="1875">
        <v>7.8599999999999989E-2</v>
      </c>
      <c r="M49" s="1876">
        <v>-2.3400000000000001E-2</v>
      </c>
      <c r="N49" s="1888">
        <f>SQRT(O49^2+P49^2)*1000/(SQRT(3)*N22)</f>
        <v>4.4910786316604696</v>
      </c>
      <c r="O49" s="1875">
        <v>7.4999999999999997E-2</v>
      </c>
      <c r="P49" s="1876">
        <v>-2.3400000000000001E-2</v>
      </c>
      <c r="Q49" s="1888">
        <f>SQRT(R49^2+S49^2)*1000/(SQRT(3)*Q22)</f>
        <v>4.415397571248266</v>
      </c>
      <c r="R49" s="1875">
        <v>7.3800000000000004E-2</v>
      </c>
      <c r="S49" s="1876">
        <v>-2.2800000000000001E-2</v>
      </c>
      <c r="T49" s="1888">
        <f>SQRT(U49^2+V49^2)*1000/(SQRT(3)*T22)</f>
        <v>4.4583488890164826</v>
      </c>
      <c r="U49" s="1875">
        <v>7.4400000000000008E-2</v>
      </c>
      <c r="V49" s="1876">
        <v>-2.3400000000000001E-2</v>
      </c>
      <c r="W49" s="1888">
        <f>SQRT(X49^2+Y49^2)*1000/(SQRT(3)*W22)</f>
        <v>4.5138091553446786</v>
      </c>
      <c r="X49" s="1875">
        <v>7.5600000000000001E-2</v>
      </c>
      <c r="Y49" s="1876">
        <v>-2.2800000000000001E-2</v>
      </c>
      <c r="Z49" s="1888">
        <f>SQRT(AA49^2+AB49^2)*1000/(SQRT(3)*Z22)</f>
        <v>5.2251343727049049</v>
      </c>
      <c r="AA49" s="1875">
        <v>8.8200000000000001E-2</v>
      </c>
      <c r="AB49" s="1876">
        <v>-2.4E-2</v>
      </c>
      <c r="AC49" s="1888">
        <f>SQRT(AD49^2+AE49^2)*1000/(SQRT(3)*AC22)</f>
        <v>5.4839330962098298</v>
      </c>
      <c r="AD49" s="1875">
        <v>9.240000000000001E-2</v>
      </c>
      <c r="AE49" s="1876">
        <v>-2.58E-2</v>
      </c>
      <c r="AF49" s="1888">
        <f>SQRT(AG49^2+AH49^2)*1000/(SQRT(3)*AF22)</f>
        <v>5.673604261416652</v>
      </c>
      <c r="AG49" s="1875">
        <v>9.6000000000000002E-2</v>
      </c>
      <c r="AH49" s="1876">
        <v>-2.52E-2</v>
      </c>
      <c r="AI49" s="1888">
        <f>SQRT(AJ49^2+AK49^2)*1000/(SQRT(3)*AI22)</f>
        <v>5.4417268345686471</v>
      </c>
      <c r="AJ49" s="1875">
        <v>9.1799999999999993E-2</v>
      </c>
      <c r="AK49" s="1876">
        <v>-2.52E-2</v>
      </c>
      <c r="AL49" s="1888">
        <f>SQRT(AM49^2+AN49^2)*1000/(SQRT(3)*AL22)</f>
        <v>5.4658846054545558</v>
      </c>
      <c r="AM49" s="1875">
        <v>9.240000000000001E-2</v>
      </c>
      <c r="AN49" s="1876">
        <v>-2.46E-2</v>
      </c>
      <c r="AO49" s="1888">
        <f>SQRT(AP49^2+AQ49^2)*1000/(SQRT(3)*AO22)</f>
        <v>5.6317750754918556</v>
      </c>
      <c r="AP49" s="1875">
        <v>9.5400000000000013E-2</v>
      </c>
      <c r="AQ49" s="1876">
        <v>-2.46E-2</v>
      </c>
      <c r="AR49" s="1885"/>
      <c r="AS49" s="1877"/>
      <c r="AT49" s="1877"/>
      <c r="AU49" s="1877"/>
      <c r="AV49" s="1886"/>
    </row>
    <row r="50" spans="1:48" s="230" customFormat="1" ht="16.5" customHeight="1" x14ac:dyDescent="0.25">
      <c r="A50" s="2456" t="s">
        <v>102</v>
      </c>
      <c r="B50" s="2457"/>
      <c r="C50" s="2457"/>
      <c r="D50" s="2457"/>
      <c r="E50" s="2457"/>
      <c r="F50" s="2457"/>
      <c r="G50" s="2458"/>
      <c r="H50" s="1889">
        <f>H34+H35+H38+H40+H41+H39+H36+H37</f>
        <v>163.00599993721082</v>
      </c>
      <c r="I50" s="1890">
        <f>I34+I35+I38+I40+I41+I39+I36+I37</f>
        <v>2.8172999999999999</v>
      </c>
      <c r="J50" s="1891">
        <f>J34+J35+J38+J40+J41+J39+J36+J37</f>
        <v>0.18119999999999997</v>
      </c>
      <c r="K50" s="1889">
        <f t="shared" ref="K50:AQ50" si="2">K34+K35+K38+K40+K41+K39+K36+K37</f>
        <v>150.73764236415724</v>
      </c>
      <c r="L50" s="1890">
        <f t="shared" si="2"/>
        <v>2.5963000000000003</v>
      </c>
      <c r="M50" s="1891">
        <f t="shared" si="2"/>
        <v>0.1777</v>
      </c>
      <c r="N50" s="1889">
        <f t="shared" si="2"/>
        <v>144.85878460979745</v>
      </c>
      <c r="O50" s="1890">
        <f t="shared" si="2"/>
        <v>2.4916000000000005</v>
      </c>
      <c r="P50" s="1891">
        <f t="shared" si="2"/>
        <v>0.18240000000000001</v>
      </c>
      <c r="Q50" s="1889">
        <f t="shared" si="2"/>
        <v>141.68380629062443</v>
      </c>
      <c r="R50" s="1890">
        <f t="shared" si="2"/>
        <v>2.4358</v>
      </c>
      <c r="S50" s="1891">
        <f t="shared" si="2"/>
        <v>0.17119999999999999</v>
      </c>
      <c r="T50" s="1889">
        <f t="shared" si="2"/>
        <v>143.37504837942015</v>
      </c>
      <c r="U50" s="1890">
        <f t="shared" si="2"/>
        <v>2.4642999999999997</v>
      </c>
      <c r="V50" s="1891">
        <f t="shared" si="2"/>
        <v>0.16009999999999994</v>
      </c>
      <c r="W50" s="1889">
        <f t="shared" si="2"/>
        <v>155.87950296915952</v>
      </c>
      <c r="X50" s="1890">
        <f t="shared" si="2"/>
        <v>2.6880000000000002</v>
      </c>
      <c r="Y50" s="1891">
        <f t="shared" si="2"/>
        <v>0.17119999999999999</v>
      </c>
      <c r="Z50" s="1889">
        <f t="shared" si="2"/>
        <v>188.51478713999754</v>
      </c>
      <c r="AA50" s="1890">
        <f t="shared" si="2"/>
        <v>3.2587999999999999</v>
      </c>
      <c r="AB50" s="1891">
        <f t="shared" si="2"/>
        <v>0.17380000000000007</v>
      </c>
      <c r="AC50" s="1889">
        <f t="shared" si="2"/>
        <v>211.46453146099725</v>
      </c>
      <c r="AD50" s="1890">
        <f t="shared" si="2"/>
        <v>3.6648999999999998</v>
      </c>
      <c r="AE50" s="1891">
        <f t="shared" si="2"/>
        <v>0.23230000000000003</v>
      </c>
      <c r="AF50" s="1889">
        <f t="shared" si="2"/>
        <v>228.0195037308726</v>
      </c>
      <c r="AG50" s="1890">
        <f t="shared" si="2"/>
        <v>3.9560999999999993</v>
      </c>
      <c r="AH50" s="1891">
        <f t="shared" si="2"/>
        <v>0.23350000000000001</v>
      </c>
      <c r="AI50" s="1889">
        <f t="shared" si="2"/>
        <v>247.97418328995633</v>
      </c>
      <c r="AJ50" s="1890">
        <f t="shared" si="2"/>
        <v>4.3073999999999995</v>
      </c>
      <c r="AK50" s="1891">
        <f t="shared" si="2"/>
        <v>0.23489999999999997</v>
      </c>
      <c r="AL50" s="1889">
        <f t="shared" si="2"/>
        <v>260.56467016332209</v>
      </c>
      <c r="AM50" s="1890">
        <f t="shared" si="2"/>
        <v>4.525599999999999</v>
      </c>
      <c r="AN50" s="1891">
        <f t="shared" si="2"/>
        <v>0.25660000000000005</v>
      </c>
      <c r="AO50" s="1889">
        <f t="shared" si="2"/>
        <v>273.13198791156708</v>
      </c>
      <c r="AP50" s="1890">
        <f t="shared" si="2"/>
        <v>4.739300000000001</v>
      </c>
      <c r="AQ50" s="1891">
        <f t="shared" si="2"/>
        <v>0.29809999999999998</v>
      </c>
      <c r="AR50" s="1892"/>
      <c r="AS50" s="480"/>
      <c r="AT50" s="480"/>
      <c r="AU50" s="480"/>
      <c r="AV50" s="231"/>
    </row>
    <row r="51" spans="1:48" s="230" customFormat="1" ht="16.5" customHeight="1" thickBot="1" x14ac:dyDescent="0.3">
      <c r="A51" s="2459" t="s">
        <v>103</v>
      </c>
      <c r="B51" s="2460"/>
      <c r="C51" s="2460"/>
      <c r="D51" s="2460"/>
      <c r="E51" s="2460"/>
      <c r="F51" s="2460"/>
      <c r="G51" s="2461"/>
      <c r="H51" s="1893">
        <f>H44+H46+H47+H48+H43+H49+H42</f>
        <v>162.10308225312954</v>
      </c>
      <c r="I51" s="1894">
        <f>I44+I46+I47+I48+I43+I49+I42+I45</f>
        <v>3.0004</v>
      </c>
      <c r="J51" s="1895">
        <f>J44+J46+J47+J48+J43+J49+J42+J45</f>
        <v>0.17479999999999998</v>
      </c>
      <c r="K51" s="1893">
        <f>K44+K46+K47+K48+K43+K49+K42</f>
        <v>151.7366555228555</v>
      </c>
      <c r="L51" s="1894">
        <f>L44+L46+L47+L48+L43+L49+L42+L45</f>
        <v>2.7942000000000005</v>
      </c>
      <c r="M51" s="1895">
        <f>M44+M46+M47+M48+M43+M49+M42+M45</f>
        <v>0.1729</v>
      </c>
      <c r="N51" s="1893">
        <f>N44+N46+N47+N48+N43+N49+N42</f>
        <v>147.02814820238063</v>
      </c>
      <c r="O51" s="1894">
        <f>O44+O46+O47+O48+O43+O49+O42+O45</f>
        <v>2.7039000000000004</v>
      </c>
      <c r="P51" s="1895">
        <f>P44+P46+P47+P48+P43+P49+P42+P45</f>
        <v>0.16909999999999997</v>
      </c>
      <c r="Q51" s="1893">
        <f>Q44+Q46+Q47+Q48+Q43+Q49+Q42</f>
        <v>145.13129433237606</v>
      </c>
      <c r="R51" s="1894">
        <f>R44+R46+R47+R48+R43+R49+R42+R45</f>
        <v>2.6667999999999998</v>
      </c>
      <c r="S51" s="1895">
        <f>S44+S46+S47+S48+S43+S49+S42+S45</f>
        <v>0.16209999999999999</v>
      </c>
      <c r="T51" s="1893">
        <f>T44+T46+T47+T48+T43+T49+T42</f>
        <v>146.24206427257488</v>
      </c>
      <c r="U51" s="1894">
        <f>U44+U46+U47+U48+U43+U49+U42+U45</f>
        <v>2.6913999999999993</v>
      </c>
      <c r="V51" s="1895">
        <f>V44+V46+V47+V48+V43+V49+V42+V45</f>
        <v>0.1595</v>
      </c>
      <c r="W51" s="1893">
        <f>W44+W46+W47+W48+W43+W49+W42</f>
        <v>160.30451804522284</v>
      </c>
      <c r="X51" s="1894">
        <f>X44+X46+X47+X48+X43+X49+X42+X45</f>
        <v>2.9498000000000002</v>
      </c>
      <c r="Y51" s="1895">
        <f>Y44+Y46+Y47+Y48+Y43+Y49+Y42+Y45</f>
        <v>0.16449999999999998</v>
      </c>
      <c r="Z51" s="1893">
        <f>Z44+Z46+Z47+Z48+Z43+Z49+Z42</f>
        <v>189.47935917296587</v>
      </c>
      <c r="AA51" s="1894">
        <f>AA44+AA46+AA47+AA48+AA43+AA49+AA42+AA45</f>
        <v>3.4909000000000003</v>
      </c>
      <c r="AB51" s="1895">
        <f>AB44+AB46+AB47+AB48+AB43+AB49+AB42+AB45</f>
        <v>0.19479999999999997</v>
      </c>
      <c r="AC51" s="1893">
        <f>AC44+AC46+AC47+AC48+AC43+AC49+AC42</f>
        <v>207.50170891926373</v>
      </c>
      <c r="AD51" s="1894">
        <f>AD44+AD46+AD47+AD48+AD43+AD49+AD42+AD45</f>
        <v>3.8254000000000001</v>
      </c>
      <c r="AE51" s="1895">
        <f>AE44+AE46+AE47+AE48+AE43+AE49+AE42+AE45</f>
        <v>0.21910000000000002</v>
      </c>
      <c r="AF51" s="1893">
        <f>AF44+AF46+AF47+AF48+AF43+AF49+AF42</f>
        <v>223.33686370291767</v>
      </c>
      <c r="AG51" s="1894">
        <f>AG44+AG46+AG47+AG48+AG43+AG49+AG42+AG45</f>
        <v>4.1052</v>
      </c>
      <c r="AH51" s="1895">
        <f>AH44+AH46+AH47+AH48+AH43+AH49+AH42+AH45</f>
        <v>0.20180000000000003</v>
      </c>
      <c r="AI51" s="1893">
        <f>AI44+AI46+AI47+AI48+AI43+AI49+AI42</f>
        <v>242.46862993541396</v>
      </c>
      <c r="AJ51" s="1894">
        <f>AJ44+AJ46+AJ47+AJ48+AJ43+AJ49+AJ42+AJ45</f>
        <v>4.4880000000000004</v>
      </c>
      <c r="AK51" s="1895">
        <f>AK44+AK46+AK47+AK48+AK43+AK49+AK42+AK45</f>
        <v>0.23329999999999995</v>
      </c>
      <c r="AL51" s="1893">
        <f>AL44+AL46+AL47+AL48+AL43+AL49+AL42</f>
        <v>252.25031198245114</v>
      </c>
      <c r="AM51" s="1894">
        <f>AM44+AM46+AM47+AM48+AM43+AM49+AM42+AM45</f>
        <v>4.664699999999999</v>
      </c>
      <c r="AN51" s="1895">
        <f>AN44+AN46+AN47+AN48+AN43+AN49+AN42+AN45</f>
        <v>0.25670000000000004</v>
      </c>
      <c r="AO51" s="1893">
        <f>AO44+AO46+AO47+AO48+AO43+AO49+AO42</f>
        <v>250.85723483641033</v>
      </c>
      <c r="AP51" s="1894">
        <f>AP44+AP46+AP47+AP48+AP43+AP49+AP42+AP45</f>
        <v>4.6495999999999995</v>
      </c>
      <c r="AQ51" s="1895">
        <f>AQ44+AQ46+AQ47+AQ48+AQ43+AQ49+AQ42+AQ45</f>
        <v>0.23150000000000004</v>
      </c>
      <c r="AR51" s="1892"/>
      <c r="AS51" s="480"/>
      <c r="AT51" s="480"/>
      <c r="AU51" s="480"/>
      <c r="AV51" s="231"/>
    </row>
    <row r="52" spans="1:48" s="230" customFormat="1" ht="16.5" customHeight="1" thickBot="1" x14ac:dyDescent="0.3">
      <c r="A52" s="2462" t="s">
        <v>104</v>
      </c>
      <c r="B52" s="2463"/>
      <c r="C52" s="2463"/>
      <c r="D52" s="2463"/>
      <c r="E52" s="2463"/>
      <c r="F52" s="2463"/>
      <c r="G52" s="2463"/>
      <c r="H52" s="1896">
        <f>H50+H51</f>
        <v>325.10908219034036</v>
      </c>
      <c r="I52" s="1897">
        <f>I50+I51</f>
        <v>5.8177000000000003</v>
      </c>
      <c r="J52" s="1898">
        <f>J50+J51</f>
        <v>0.35599999999999998</v>
      </c>
      <c r="K52" s="1896">
        <f t="shared" ref="K52:AQ52" si="3">K50+K51</f>
        <v>302.47429788701277</v>
      </c>
      <c r="L52" s="1897">
        <f t="shared" si="3"/>
        <v>5.3905000000000012</v>
      </c>
      <c r="M52" s="1898">
        <f t="shared" si="3"/>
        <v>0.35060000000000002</v>
      </c>
      <c r="N52" s="1896">
        <f t="shared" si="3"/>
        <v>291.88693281217809</v>
      </c>
      <c r="O52" s="1897">
        <f t="shared" si="3"/>
        <v>5.1955000000000009</v>
      </c>
      <c r="P52" s="1898">
        <f t="shared" si="3"/>
        <v>0.35149999999999998</v>
      </c>
      <c r="Q52" s="1896">
        <f t="shared" si="3"/>
        <v>286.81510062300049</v>
      </c>
      <c r="R52" s="1897">
        <f t="shared" si="3"/>
        <v>5.1025999999999998</v>
      </c>
      <c r="S52" s="1898">
        <f t="shared" si="3"/>
        <v>0.33329999999999999</v>
      </c>
      <c r="T52" s="1896">
        <f t="shared" si="3"/>
        <v>289.61711265199506</v>
      </c>
      <c r="U52" s="1897">
        <f t="shared" si="3"/>
        <v>5.1556999999999995</v>
      </c>
      <c r="V52" s="1898">
        <f t="shared" si="3"/>
        <v>0.31959999999999994</v>
      </c>
      <c r="W52" s="1896">
        <f t="shared" si="3"/>
        <v>316.18402101438232</v>
      </c>
      <c r="X52" s="1897">
        <f t="shared" si="3"/>
        <v>5.6378000000000004</v>
      </c>
      <c r="Y52" s="1898">
        <f t="shared" si="3"/>
        <v>0.3357</v>
      </c>
      <c r="Z52" s="1896">
        <f t="shared" si="3"/>
        <v>377.99414631296338</v>
      </c>
      <c r="AA52" s="1897">
        <f t="shared" si="3"/>
        <v>6.7497000000000007</v>
      </c>
      <c r="AB52" s="1898">
        <f t="shared" si="3"/>
        <v>0.36860000000000004</v>
      </c>
      <c r="AC52" s="1896">
        <f t="shared" si="3"/>
        <v>418.96624038026096</v>
      </c>
      <c r="AD52" s="1897">
        <f t="shared" si="3"/>
        <v>7.4902999999999995</v>
      </c>
      <c r="AE52" s="1898">
        <f t="shared" si="3"/>
        <v>0.45140000000000002</v>
      </c>
      <c r="AF52" s="1896">
        <f t="shared" si="3"/>
        <v>451.3563674337903</v>
      </c>
      <c r="AG52" s="1897">
        <f t="shared" si="3"/>
        <v>8.0612999999999992</v>
      </c>
      <c r="AH52" s="1898">
        <f t="shared" si="3"/>
        <v>0.43530000000000002</v>
      </c>
      <c r="AI52" s="1896">
        <f t="shared" si="3"/>
        <v>490.44281322537029</v>
      </c>
      <c r="AJ52" s="1897">
        <f t="shared" si="3"/>
        <v>8.7954000000000008</v>
      </c>
      <c r="AK52" s="1898">
        <f t="shared" si="3"/>
        <v>0.46819999999999995</v>
      </c>
      <c r="AL52" s="1896">
        <f t="shared" si="3"/>
        <v>512.81498214577323</v>
      </c>
      <c r="AM52" s="1897">
        <f t="shared" si="3"/>
        <v>9.190299999999997</v>
      </c>
      <c r="AN52" s="1898">
        <f t="shared" si="3"/>
        <v>0.51330000000000009</v>
      </c>
      <c r="AO52" s="1896">
        <f t="shared" si="3"/>
        <v>523.98922274797746</v>
      </c>
      <c r="AP52" s="1897">
        <f t="shared" si="3"/>
        <v>9.3888999999999996</v>
      </c>
      <c r="AQ52" s="1898">
        <f t="shared" si="3"/>
        <v>0.52960000000000007</v>
      </c>
      <c r="AR52" s="284"/>
      <c r="AS52" s="393"/>
      <c r="AT52" s="393"/>
      <c r="AU52" s="393"/>
      <c r="AV52" s="231"/>
    </row>
    <row r="53" spans="1:48" s="230" customFormat="1" ht="16.5" customHeight="1" thickBot="1" x14ac:dyDescent="0.3">
      <c r="A53" s="1899"/>
      <c r="B53" s="1801"/>
      <c r="C53" s="1858"/>
      <c r="D53" s="1860"/>
      <c r="E53" s="1861"/>
      <c r="F53" s="1860"/>
      <c r="G53" s="1861"/>
      <c r="H53" s="1862"/>
      <c r="I53" s="1860"/>
      <c r="J53" s="626"/>
      <c r="K53" s="1862"/>
      <c r="L53" s="1860"/>
      <c r="M53" s="1860"/>
      <c r="N53" s="1862"/>
      <c r="O53" s="1860"/>
      <c r="P53" s="1860"/>
      <c r="Q53" s="1862"/>
      <c r="R53" s="1860"/>
      <c r="S53" s="1860"/>
      <c r="T53" s="1862"/>
      <c r="U53" s="1860"/>
      <c r="V53" s="1860"/>
      <c r="W53" s="1862"/>
      <c r="X53" s="1860"/>
      <c r="Y53" s="1860"/>
      <c r="Z53" s="1862"/>
      <c r="AA53" s="1860"/>
      <c r="AB53" s="1860"/>
      <c r="AC53" s="1862"/>
      <c r="AD53" s="1860"/>
      <c r="AE53" s="1860"/>
      <c r="AF53" s="1862"/>
      <c r="AG53" s="1860"/>
      <c r="AH53" s="1860"/>
      <c r="AI53" s="1862"/>
      <c r="AJ53" s="1860"/>
      <c r="AK53" s="1860"/>
      <c r="AL53" s="1862"/>
      <c r="AM53" s="1860"/>
      <c r="AN53" s="1860"/>
      <c r="AO53" s="1862"/>
      <c r="AP53" s="1860"/>
      <c r="AQ53" s="1860"/>
      <c r="AS53" s="231"/>
      <c r="AT53" s="231"/>
      <c r="AU53" s="231"/>
      <c r="AV53" s="231"/>
    </row>
    <row r="54" spans="1:48" s="230" customFormat="1" ht="18.75" customHeight="1" x14ac:dyDescent="0.25">
      <c r="A54" s="2430" t="s">
        <v>40</v>
      </c>
      <c r="B54" s="2431"/>
      <c r="C54" s="2431"/>
      <c r="D54" s="2466" t="s">
        <v>5</v>
      </c>
      <c r="E54" s="2467"/>
      <c r="F54" s="2467" t="s">
        <v>6</v>
      </c>
      <c r="G54" s="2468"/>
      <c r="H54" s="1808" t="s">
        <v>4</v>
      </c>
      <c r="I54" s="1809" t="s">
        <v>9</v>
      </c>
      <c r="J54" s="1810" t="s">
        <v>10</v>
      </c>
      <c r="K54" s="1808" t="s">
        <v>4</v>
      </c>
      <c r="L54" s="1809" t="s">
        <v>9</v>
      </c>
      <c r="M54" s="1810" t="s">
        <v>10</v>
      </c>
      <c r="N54" s="1808" t="s">
        <v>4</v>
      </c>
      <c r="O54" s="1809" t="s">
        <v>9</v>
      </c>
      <c r="P54" s="1810" t="s">
        <v>10</v>
      </c>
      <c r="Q54" s="1808" t="s">
        <v>4</v>
      </c>
      <c r="R54" s="1809" t="s">
        <v>9</v>
      </c>
      <c r="S54" s="1810" t="s">
        <v>10</v>
      </c>
      <c r="T54" s="1808" t="s">
        <v>4</v>
      </c>
      <c r="U54" s="1809" t="s">
        <v>9</v>
      </c>
      <c r="V54" s="1810" t="s">
        <v>10</v>
      </c>
      <c r="W54" s="1808" t="s">
        <v>4</v>
      </c>
      <c r="X54" s="1809" t="s">
        <v>9</v>
      </c>
      <c r="Y54" s="1810" t="s">
        <v>10</v>
      </c>
      <c r="Z54" s="1808" t="s">
        <v>4</v>
      </c>
      <c r="AA54" s="1809" t="s">
        <v>9</v>
      </c>
      <c r="AB54" s="1810" t="s">
        <v>10</v>
      </c>
      <c r="AC54" s="1808" t="s">
        <v>4</v>
      </c>
      <c r="AD54" s="1809" t="s">
        <v>9</v>
      </c>
      <c r="AE54" s="1810" t="s">
        <v>10</v>
      </c>
      <c r="AF54" s="1808" t="s">
        <v>4</v>
      </c>
      <c r="AG54" s="1809" t="s">
        <v>9</v>
      </c>
      <c r="AH54" s="1810" t="s">
        <v>10</v>
      </c>
      <c r="AI54" s="1808" t="s">
        <v>4</v>
      </c>
      <c r="AJ54" s="1809" t="s">
        <v>9</v>
      </c>
      <c r="AK54" s="1810" t="s">
        <v>10</v>
      </c>
      <c r="AL54" s="1808" t="s">
        <v>4</v>
      </c>
      <c r="AM54" s="1809" t="s">
        <v>9</v>
      </c>
      <c r="AN54" s="1810" t="s">
        <v>10</v>
      </c>
      <c r="AO54" s="1808" t="s">
        <v>4</v>
      </c>
      <c r="AP54" s="1809" t="s">
        <v>9</v>
      </c>
      <c r="AQ54" s="1810" t="s">
        <v>10</v>
      </c>
      <c r="AS54" s="231"/>
      <c r="AT54" s="231"/>
      <c r="AU54" s="231"/>
      <c r="AV54" s="231"/>
    </row>
    <row r="55" spans="1:48" s="230" customFormat="1" ht="18.75" customHeight="1" thickBot="1" x14ac:dyDescent="0.3">
      <c r="A55" s="2454" t="s">
        <v>414</v>
      </c>
      <c r="B55" s="2455"/>
      <c r="C55" s="2455"/>
      <c r="D55" s="1900" t="s">
        <v>7</v>
      </c>
      <c r="E55" s="1901" t="s">
        <v>8</v>
      </c>
      <c r="F55" s="1902" t="s">
        <v>7</v>
      </c>
      <c r="G55" s="1903" t="s">
        <v>8</v>
      </c>
      <c r="H55" s="1814" t="s">
        <v>30</v>
      </c>
      <c r="I55" s="1815" t="s">
        <v>31</v>
      </c>
      <c r="J55" s="1816" t="s">
        <v>32</v>
      </c>
      <c r="K55" s="1814" t="s">
        <v>30</v>
      </c>
      <c r="L55" s="1815" t="s">
        <v>31</v>
      </c>
      <c r="M55" s="1816" t="s">
        <v>32</v>
      </c>
      <c r="N55" s="1814" t="s">
        <v>30</v>
      </c>
      <c r="O55" s="1815" t="s">
        <v>31</v>
      </c>
      <c r="P55" s="1816" t="s">
        <v>32</v>
      </c>
      <c r="Q55" s="1814" t="s">
        <v>30</v>
      </c>
      <c r="R55" s="1815" t="s">
        <v>31</v>
      </c>
      <c r="S55" s="1816" t="s">
        <v>32</v>
      </c>
      <c r="T55" s="1814" t="s">
        <v>30</v>
      </c>
      <c r="U55" s="1815" t="s">
        <v>31</v>
      </c>
      <c r="V55" s="1816" t="s">
        <v>32</v>
      </c>
      <c r="W55" s="1814" t="s">
        <v>30</v>
      </c>
      <c r="X55" s="1815" t="s">
        <v>31</v>
      </c>
      <c r="Y55" s="1816" t="s">
        <v>32</v>
      </c>
      <c r="Z55" s="1814" t="s">
        <v>30</v>
      </c>
      <c r="AA55" s="1815" t="s">
        <v>31</v>
      </c>
      <c r="AB55" s="1816" t="s">
        <v>32</v>
      </c>
      <c r="AC55" s="1814" t="s">
        <v>30</v>
      </c>
      <c r="AD55" s="1815" t="s">
        <v>31</v>
      </c>
      <c r="AE55" s="1816" t="s">
        <v>32</v>
      </c>
      <c r="AF55" s="1814" t="s">
        <v>30</v>
      </c>
      <c r="AG55" s="1815" t="s">
        <v>31</v>
      </c>
      <c r="AH55" s="1816" t="s">
        <v>32</v>
      </c>
      <c r="AI55" s="1814" t="s">
        <v>30</v>
      </c>
      <c r="AJ55" s="1815" t="s">
        <v>31</v>
      </c>
      <c r="AK55" s="1816" t="s">
        <v>32</v>
      </c>
      <c r="AL55" s="1814" t="s">
        <v>30</v>
      </c>
      <c r="AM55" s="1815" t="s">
        <v>31</v>
      </c>
      <c r="AN55" s="1816" t="s">
        <v>32</v>
      </c>
      <c r="AO55" s="1814" t="s">
        <v>30</v>
      </c>
      <c r="AP55" s="1815" t="s">
        <v>31</v>
      </c>
      <c r="AQ55" s="1816" t="s">
        <v>32</v>
      </c>
      <c r="AS55" s="231"/>
      <c r="AT55" s="231"/>
      <c r="AU55" s="231"/>
      <c r="AV55" s="231"/>
    </row>
    <row r="56" spans="1:48" s="230" customFormat="1" ht="16.5" customHeight="1" x14ac:dyDescent="0.25">
      <c r="A56" s="1868" t="s">
        <v>415</v>
      </c>
      <c r="B56" s="1868"/>
      <c r="C56" s="1869"/>
      <c r="D56" s="1870"/>
      <c r="E56" s="1871"/>
      <c r="F56" s="1872"/>
      <c r="G56" s="1873"/>
      <c r="H56" s="1874">
        <f>SQRT(I56^2+J56^2)*1000/(SQRT(3)*H15)</f>
        <v>90.376877573857357</v>
      </c>
      <c r="I56" s="1875">
        <v>0.91115999999999997</v>
      </c>
      <c r="J56" s="1876">
        <v>0.22788</v>
      </c>
      <c r="K56" s="1874">
        <f>SQRT(L56^2+M56^2)*1000/(SQRT(3)*K15)</f>
        <v>86.53108112117863</v>
      </c>
      <c r="L56" s="1875">
        <v>0.87083999999999995</v>
      </c>
      <c r="M56" s="1876">
        <v>0.22427999999999998</v>
      </c>
      <c r="N56" s="1874">
        <f>SQRT(O56^2+P56^2)*1000/(SQRT(3)*N15)</f>
        <v>84.168210150863956</v>
      </c>
      <c r="O56" s="1875">
        <v>0.84311999999999998</v>
      </c>
      <c r="P56" s="1876">
        <v>0.23292000000000002</v>
      </c>
      <c r="Q56" s="1874">
        <f>SQRT(R56^2+S56^2)*1000/(SQRT(3)*Q15)</f>
        <v>82.899360673047426</v>
      </c>
      <c r="R56" s="1875">
        <v>0.82872000000000001</v>
      </c>
      <c r="S56" s="1876">
        <v>0.23544000000000001</v>
      </c>
      <c r="T56" s="1874">
        <f>SQRT(U56^2+V56^2)*1000/(SQRT(3)*T15)</f>
        <v>84.394537737936574</v>
      </c>
      <c r="U56" s="1875">
        <v>0.84455999999999998</v>
      </c>
      <c r="V56" s="1876">
        <v>0.23651999999999998</v>
      </c>
      <c r="W56" s="1874">
        <f>SQRT(X56^2+Y56^2)*1000/(SQRT(3)*W15)</f>
        <v>88.891041168387702</v>
      </c>
      <c r="X56" s="1875">
        <v>0.89279999999999993</v>
      </c>
      <c r="Y56" s="1876">
        <v>0.23724000000000001</v>
      </c>
      <c r="Z56" s="1874">
        <f>SQRT(AA56^2+AB56^2)*1000/(SQRT(3)*Z15)</f>
        <v>105.8366552759487</v>
      </c>
      <c r="AA56" s="1875">
        <v>1.07172</v>
      </c>
      <c r="AB56" s="1876">
        <v>0.24731999999999998</v>
      </c>
      <c r="AC56" s="1874">
        <f>SQRT(AD56^2+AE56^2)*1000/(SQRT(3)*AC15)</f>
        <v>127.90508824906068</v>
      </c>
      <c r="AD56" s="1875">
        <v>1.3024800000000001</v>
      </c>
      <c r="AE56" s="1876">
        <v>0.26532</v>
      </c>
      <c r="AF56" s="1874">
        <f>SQRT(AG56^2+AH56^2)*1000/(SQRT(3)*AF15)</f>
        <v>146.37000102480016</v>
      </c>
      <c r="AG56" s="1875">
        <v>1.4907600000000001</v>
      </c>
      <c r="AH56" s="1876">
        <v>0.3024</v>
      </c>
      <c r="AI56" s="1874">
        <f>SQRT(AJ56^2+AK56^2)*1000/(SQRT(3)*AI15)</f>
        <v>152.3213734181779</v>
      </c>
      <c r="AJ56" s="1875">
        <v>1.54908</v>
      </c>
      <c r="AK56" s="1876">
        <v>0.32579999999999998</v>
      </c>
      <c r="AL56" s="1874">
        <f>SQRT(AM56^2+AN56^2)*1000/(SQRT(3)*AL15)</f>
        <v>152.67127038182397</v>
      </c>
      <c r="AM56" s="1875">
        <v>1.55088</v>
      </c>
      <c r="AN56" s="1876">
        <v>0.33479999999999993</v>
      </c>
      <c r="AO56" s="1874">
        <f>SQRT(AP56^2+AQ56^2)*1000/(SQRT(3)*AO15)</f>
        <v>153.88573813060131</v>
      </c>
      <c r="AP56" s="1875">
        <v>1.5663600000000002</v>
      </c>
      <c r="AQ56" s="1876">
        <v>0.32256000000000001</v>
      </c>
      <c r="AR56" s="284"/>
      <c r="AS56" s="393"/>
      <c r="AT56" s="393"/>
      <c r="AU56" s="393"/>
      <c r="AV56" s="231"/>
    </row>
    <row r="57" spans="1:48" s="230" customFormat="1" ht="16.5" customHeight="1" x14ac:dyDescent="0.25">
      <c r="A57" s="1879" t="s">
        <v>416</v>
      </c>
      <c r="B57" s="1879"/>
      <c r="C57" s="1880"/>
      <c r="D57" s="1881"/>
      <c r="E57" s="1882"/>
      <c r="F57" s="1883"/>
      <c r="G57" s="1884"/>
      <c r="H57" s="1874">
        <f>SQRT(I57^2+J57^2)*1000/(SQRT(3)*H15)</f>
        <v>2.6970848460266628</v>
      </c>
      <c r="I57" s="1875">
        <v>2.7480000000000001E-2</v>
      </c>
      <c r="J57" s="1876">
        <v>5.5199999999999997E-3</v>
      </c>
      <c r="K57" s="1874">
        <f>SQRT(L57^2+M57^2)*1000/(SQRT(3)*K15)</f>
        <v>2.7428695436227608</v>
      </c>
      <c r="L57" s="1875">
        <v>2.784E-2</v>
      </c>
      <c r="M57" s="1876">
        <v>6.1200000000000004E-3</v>
      </c>
      <c r="N57" s="1874">
        <f>SQRT(O57^2+P57^2)*1000/(SQRT(3)*N15)</f>
        <v>2.7333252032399415</v>
      </c>
      <c r="O57" s="1875">
        <v>2.784E-2</v>
      </c>
      <c r="P57" s="1876">
        <v>5.64E-3</v>
      </c>
      <c r="Q57" s="1874">
        <f>SQRT(R57^2+S57^2)*1000/(SQRT(3)*Q15)</f>
        <v>2.6744469833344362</v>
      </c>
      <c r="R57" s="1875">
        <v>2.724E-2</v>
      </c>
      <c r="S57" s="1876">
        <v>5.5199999999999997E-3</v>
      </c>
      <c r="T57" s="1874">
        <f>SQRT(U57^2+V57^2)*1000/(SQRT(3)*T15)</f>
        <v>2.7832115741830812</v>
      </c>
      <c r="U57" s="1875">
        <v>2.8320000000000001E-2</v>
      </c>
      <c r="V57" s="1876">
        <v>5.8799999999999998E-3</v>
      </c>
      <c r="W57" s="1874">
        <f>SQRT(X57^2+Y57^2)*1000/(SQRT(3)*W15)</f>
        <v>2.6721776388057239</v>
      </c>
      <c r="X57" s="1875">
        <v>2.724E-2</v>
      </c>
      <c r="Y57" s="1876">
        <v>5.4000000000000003E-3</v>
      </c>
      <c r="Z57" s="1874">
        <f>SQRT(AA57^2+AB57^2)*1000/(SQRT(3)*Z15)</f>
        <v>2.6857649437978246</v>
      </c>
      <c r="AA57" s="1875">
        <v>2.7359999999999999E-2</v>
      </c>
      <c r="AB57" s="1876">
        <v>5.5199999999999997E-3</v>
      </c>
      <c r="AC57" s="1874">
        <f>SQRT(AD57^2+AE57^2)*1000/(SQRT(3)*AC15)</f>
        <v>2.7197303787937015</v>
      </c>
      <c r="AD57" s="1875">
        <v>2.7719999999999998E-2</v>
      </c>
      <c r="AE57" s="1876">
        <v>5.5199999999999997E-3</v>
      </c>
      <c r="AF57" s="1874">
        <f>SQRT(AG57^2+AH57^2)*1000/(SQRT(3)*AF15)</f>
        <v>2.85323208543107</v>
      </c>
      <c r="AG57" s="1875">
        <v>2.928E-2</v>
      </c>
      <c r="AH57" s="1876">
        <v>4.6800000000000001E-3</v>
      </c>
      <c r="AI57" s="1874">
        <f>SQRT(AJ57^2+AK57^2)*1000/(SQRT(3)*AI15)</f>
        <v>3.0657897296890182</v>
      </c>
      <c r="AJ57" s="1875">
        <v>3.1439999999999996E-2</v>
      </c>
      <c r="AK57" s="1876">
        <v>5.1600000000000005E-3</v>
      </c>
      <c r="AL57" s="1874">
        <f>SQRT(AM57^2+AN57^2)*1000/(SQRT(3)*AL15)</f>
        <v>3.7951899381541718</v>
      </c>
      <c r="AM57" s="1875">
        <v>3.9E-2</v>
      </c>
      <c r="AN57" s="1876">
        <v>5.8799999999999998E-3</v>
      </c>
      <c r="AO57" s="1874">
        <f>SQRT(AP57^2+AQ57^2)*1000/(SQRT(3)*AO15)</f>
        <v>3.3030894629119567</v>
      </c>
      <c r="AP57" s="1875">
        <v>3.3840000000000002E-2</v>
      </c>
      <c r="AQ57" s="1876">
        <v>5.7599999999999995E-3</v>
      </c>
      <c r="AR57" s="284"/>
      <c r="AS57" s="393"/>
      <c r="AT57" s="393"/>
      <c r="AU57" s="393"/>
      <c r="AV57" s="231"/>
    </row>
    <row r="58" spans="1:48" s="230" customFormat="1" ht="16.5" customHeight="1" x14ac:dyDescent="0.25">
      <c r="A58" s="1879" t="s">
        <v>417</v>
      </c>
      <c r="B58" s="1879"/>
      <c r="C58" s="1880"/>
      <c r="D58" s="1881"/>
      <c r="E58" s="1882"/>
      <c r="F58" s="1883"/>
      <c r="G58" s="1884"/>
      <c r="H58" s="1874">
        <f>SQRT(I58^2+J58^2)*1000/(SQRT(3)*H15)</f>
        <v>7.6066812737224643</v>
      </c>
      <c r="I58" s="1875">
        <v>7.0919999999999997E-2</v>
      </c>
      <c r="J58" s="1876">
        <v>3.492E-2</v>
      </c>
      <c r="K58" s="1874">
        <f>SQRT(L58^2+M58^2)*1000/(SQRT(3)*K15)</f>
        <v>7.8398979585196127</v>
      </c>
      <c r="L58" s="1875">
        <v>7.3439999999999991E-2</v>
      </c>
      <c r="M58" s="1876">
        <v>3.5279999999999999E-2</v>
      </c>
      <c r="N58" s="1874">
        <f>SQRT(O58^2+P58^2)*1000/(SQRT(3)*N15)</f>
        <v>7.7149983797794794</v>
      </c>
      <c r="O58" s="1875">
        <v>7.1639999999999995E-2</v>
      </c>
      <c r="P58" s="1876">
        <v>3.5999999999999997E-2</v>
      </c>
      <c r="Q58" s="1874">
        <f>SQRT(R58^2+S58^2)*1000/(SQRT(3)*Q15)</f>
        <v>7.7306144645817119</v>
      </c>
      <c r="R58" s="1875">
        <v>7.1639999999999995E-2</v>
      </c>
      <c r="S58" s="1876">
        <v>3.6359999999999996E-2</v>
      </c>
      <c r="T58" s="1874">
        <f>SQRT(U58^2+V58^2)*1000/(SQRT(3)*T15)</f>
        <v>7.5451441338121574</v>
      </c>
      <c r="U58" s="1875">
        <v>7.0559999999999998E-2</v>
      </c>
      <c r="V58" s="1876">
        <v>3.4200000000000001E-2</v>
      </c>
      <c r="W58" s="1874">
        <f>SQRT(X58^2+Y58^2)*1000/(SQRT(3)*W15)</f>
        <v>7.8238098136393868</v>
      </c>
      <c r="X58" s="1875">
        <v>7.3079999999999992E-2</v>
      </c>
      <c r="Y58" s="1876">
        <v>3.5639999999999998E-2</v>
      </c>
      <c r="Z58" s="1874">
        <f>SQRT(AA58^2+AB58^2)*1000/(SQRT(3)*Z15)</f>
        <v>8.3502095782082009</v>
      </c>
      <c r="AA58" s="1875">
        <v>7.7759999999999996E-2</v>
      </c>
      <c r="AB58" s="1876">
        <v>3.8519999999999999E-2</v>
      </c>
      <c r="AC58" s="1874">
        <f>SQRT(AD58^2+AE58^2)*1000/(SQRT(3)*AC15)</f>
        <v>13.260090497428742</v>
      </c>
      <c r="AD58" s="1875">
        <v>0.126</v>
      </c>
      <c r="AE58" s="1876">
        <v>5.5799999999999995E-2</v>
      </c>
      <c r="AF58" s="1874">
        <f>SQRT(AG58^2+AH58^2)*1000/(SQRT(3)*AF15)</f>
        <v>15.972664148475671</v>
      </c>
      <c r="AG58" s="1875">
        <v>0.15372</v>
      </c>
      <c r="AH58" s="1876">
        <v>6.2640000000000001E-2</v>
      </c>
      <c r="AI58" s="1874">
        <f>SQRT(AJ58^2+AK58^2)*1000/(SQRT(3)*AI15)</f>
        <v>18.43543327399712</v>
      </c>
      <c r="AJ58" s="1875">
        <v>0.17604000000000003</v>
      </c>
      <c r="AK58" s="1876">
        <v>7.5600000000000001E-2</v>
      </c>
      <c r="AL58" s="1874">
        <f>SQRT(AM58^2+AN58^2)*1000/(SQRT(3)*AL15)</f>
        <v>20.295319657497387</v>
      </c>
      <c r="AM58" s="1875">
        <v>0.19619999999999999</v>
      </c>
      <c r="AN58" s="1876">
        <v>7.740000000000001E-2</v>
      </c>
      <c r="AO58" s="1874">
        <f>SQRT(AP58^2+AQ58^2)*1000/(SQRT(3)*AO15)</f>
        <v>20.098149168517981</v>
      </c>
      <c r="AP58" s="1875">
        <v>0.19512000000000002</v>
      </c>
      <c r="AQ58" s="1876">
        <v>7.4520000000000003E-2</v>
      </c>
      <c r="AR58" s="284"/>
      <c r="AS58" s="393"/>
      <c r="AT58" s="393"/>
      <c r="AU58" s="393"/>
      <c r="AV58" s="231"/>
    </row>
    <row r="59" spans="1:48" s="230" customFormat="1" ht="16.5" customHeight="1" x14ac:dyDescent="0.25">
      <c r="A59" s="1879" t="s">
        <v>418</v>
      </c>
      <c r="B59" s="1879"/>
      <c r="C59" s="1880"/>
      <c r="D59" s="1881"/>
      <c r="E59" s="1882"/>
      <c r="F59" s="1883"/>
      <c r="G59" s="1884"/>
      <c r="H59" s="1874">
        <f>SQRT(I59^2+J59^2)*1000/(SQRT(3)*H15)</f>
        <v>5.9180402161526411</v>
      </c>
      <c r="I59" s="1875">
        <v>6.0840000000000005E-2</v>
      </c>
      <c r="J59" s="1876">
        <v>8.9999999999999993E-3</v>
      </c>
      <c r="K59" s="1874">
        <f>SQRT(L59^2+M59^2)*1000/(SQRT(3)*K15)</f>
        <v>6.0259439094634795</v>
      </c>
      <c r="L59" s="1875">
        <v>6.1920000000000003E-2</v>
      </c>
      <c r="M59" s="1876">
        <v>9.3600000000000003E-3</v>
      </c>
      <c r="N59" s="1874">
        <f>SQRT(O59^2+P59^2)*1000/(SQRT(3)*N15)</f>
        <v>6.089433471185969</v>
      </c>
      <c r="O59" s="1875">
        <v>6.2640000000000001E-2</v>
      </c>
      <c r="P59" s="1876">
        <v>8.9999999999999993E-3</v>
      </c>
      <c r="Q59" s="1874">
        <f>SQRT(R59^2+S59^2)*1000/(SQRT(3)*Q15)</f>
        <v>5.9916942512114222</v>
      </c>
      <c r="R59" s="1875">
        <v>6.1560000000000004E-2</v>
      </c>
      <c r="S59" s="1876">
        <v>9.3600000000000003E-3</v>
      </c>
      <c r="T59" s="1874">
        <f>SQRT(U59^2+V59^2)*1000/(SQRT(3)*T15)</f>
        <v>6.0601980165667859</v>
      </c>
      <c r="U59" s="1875">
        <v>6.2280000000000002E-2</v>
      </c>
      <c r="V59" s="1876">
        <v>9.3600000000000003E-3</v>
      </c>
      <c r="W59" s="1874">
        <f>SQRT(X59^2+Y59^2)*1000/(SQRT(3)*W15)</f>
        <v>6.0944564975065658</v>
      </c>
      <c r="X59" s="1875">
        <v>6.2640000000000001E-2</v>
      </c>
      <c r="Y59" s="1876">
        <v>9.3600000000000003E-3</v>
      </c>
      <c r="Z59" s="1874">
        <f>SQRT(AA59^2+AB59^2)*1000/(SQRT(3)*Z15)</f>
        <v>6.3841992450110761</v>
      </c>
      <c r="AA59" s="1875">
        <v>6.5519999999999995E-2</v>
      </c>
      <c r="AB59" s="1876">
        <v>1.0440000000000001E-2</v>
      </c>
      <c r="AC59" s="1874">
        <f>SQRT(AD59^2+AE59^2)*1000/(SQRT(3)*AC15)</f>
        <v>7.0959143174082921</v>
      </c>
      <c r="AD59" s="1875">
        <v>7.2719999999999993E-2</v>
      </c>
      <c r="AE59" s="1876">
        <v>1.2240000000000001E-2</v>
      </c>
      <c r="AF59" s="1874">
        <f>SQRT(AG59^2+AH59^2)*1000/(SQRT(3)*AF15)</f>
        <v>7.8829436126360815</v>
      </c>
      <c r="AG59" s="1875">
        <v>7.9920000000000005E-2</v>
      </c>
      <c r="AH59" s="1876">
        <v>1.7999999999999999E-2</v>
      </c>
      <c r="AI59" s="1874">
        <f>SQRT(AJ59^2+AK59^2)*1000/(SQRT(3)*AI15)</f>
        <v>7.181058417810009</v>
      </c>
      <c r="AJ59" s="1875">
        <v>7.3079999999999992E-2</v>
      </c>
      <c r="AK59" s="1876">
        <v>1.512E-2</v>
      </c>
      <c r="AL59" s="1874">
        <f>SQRT(AM59^2+AN59^2)*1000/(SQRT(3)*AL15)</f>
        <v>7.6128312735801513</v>
      </c>
      <c r="AM59" s="1875">
        <v>7.7039999999999997E-2</v>
      </c>
      <c r="AN59" s="1876">
        <v>1.7999999999999999E-2</v>
      </c>
      <c r="AO59" s="1874">
        <f>SQRT(AP59^2+AQ59^2)*1000/(SQRT(3)*AO15)</f>
        <v>7.1741201551130995</v>
      </c>
      <c r="AP59" s="1875">
        <v>7.3079999999999992E-2</v>
      </c>
      <c r="AQ59" s="1876">
        <v>1.4760000000000001E-2</v>
      </c>
      <c r="AR59" s="284"/>
      <c r="AS59" s="393"/>
      <c r="AT59" s="393"/>
      <c r="AU59" s="393"/>
      <c r="AV59" s="231"/>
    </row>
    <row r="60" spans="1:48" s="230" customFormat="1" ht="16.5" customHeight="1" x14ac:dyDescent="0.25">
      <c r="A60" s="1879" t="s">
        <v>419</v>
      </c>
      <c r="B60" s="1879"/>
      <c r="C60" s="1880"/>
      <c r="D60" s="1881"/>
      <c r="E60" s="1882"/>
      <c r="F60" s="1883"/>
      <c r="G60" s="1884"/>
      <c r="H60" s="1874">
        <f>SQRT(I60^2+J60^2)*1000/(SQRT(3)*H15)</f>
        <v>127.00082991854815</v>
      </c>
      <c r="I60" s="1875">
        <v>1.2726</v>
      </c>
      <c r="J60" s="1876">
        <v>0.34992000000000001</v>
      </c>
      <c r="K60" s="1874">
        <f>SQRT(L60^2+M60^2)*1000/(SQRT(3)*K15)</f>
        <v>126.04173118455648</v>
      </c>
      <c r="L60" s="1875">
        <v>1.2621599999999999</v>
      </c>
      <c r="M60" s="1876">
        <v>0.35027999999999998</v>
      </c>
      <c r="N60" s="1874">
        <f>SQRT(O60^2+P60^2)*1000/(SQRT(3)*N15)</f>
        <v>125.68389395622654</v>
      </c>
      <c r="O60" s="1875">
        <v>1.2582</v>
      </c>
      <c r="P60" s="1876">
        <v>0.35064000000000001</v>
      </c>
      <c r="Q60" s="1874">
        <f>SQRT(R60^2+S60^2)*1000/(SQRT(3)*Q15)</f>
        <v>125.54111677056247</v>
      </c>
      <c r="R60" s="1875">
        <v>1.2567600000000001</v>
      </c>
      <c r="S60" s="1876">
        <v>0.35027999999999998</v>
      </c>
      <c r="T60" s="1874">
        <f>SQRT(U60^2+V60^2)*1000/(SQRT(3)*T15)</f>
        <v>128.61735341702536</v>
      </c>
      <c r="U60" s="1875">
        <v>1.2859200000000002</v>
      </c>
      <c r="V60" s="1876">
        <v>0.36468</v>
      </c>
      <c r="W60" s="1874">
        <f>SQRT(X60^2+Y60^2)*1000/(SQRT(3)*W15)</f>
        <v>130.67950872267619</v>
      </c>
      <c r="X60" s="1875">
        <v>1.3078800000000002</v>
      </c>
      <c r="Y60" s="1876">
        <v>0.36575999999999997</v>
      </c>
      <c r="Z60" s="1874">
        <f>SQRT(AA60^2+AB60^2)*1000/(SQRT(3)*Z15)</f>
        <v>130.16397658338499</v>
      </c>
      <c r="AA60" s="1875">
        <v>1.30392</v>
      </c>
      <c r="AB60" s="1876">
        <v>0.36</v>
      </c>
      <c r="AC60" s="1874">
        <f>SQRT(AD60^2+AE60^2)*1000/(SQRT(3)*AC15)</f>
        <v>132.7608617025364</v>
      </c>
      <c r="AD60" s="1875">
        <v>1.33344</v>
      </c>
      <c r="AE60" s="1876">
        <v>0.35424</v>
      </c>
      <c r="AF60" s="1874">
        <f>SQRT(AG60^2+AH60^2)*1000/(SQRT(3)*AF15)</f>
        <v>141.10917050284152</v>
      </c>
      <c r="AG60" s="1875">
        <v>1.41804</v>
      </c>
      <c r="AH60" s="1876">
        <v>0.37367999999999996</v>
      </c>
      <c r="AI60" s="1874">
        <f>SQRT(AJ60^2+AK60^2)*1000/(SQRT(3)*AI15)</f>
        <v>145.64116863030179</v>
      </c>
      <c r="AJ60" s="1875">
        <v>1.4648400000000001</v>
      </c>
      <c r="AK60" s="1876">
        <v>0.38088</v>
      </c>
      <c r="AL60" s="1874">
        <f>SQRT(AM60^2+AN60^2)*1000/(SQRT(3)*AL15)</f>
        <v>151.75771743143741</v>
      </c>
      <c r="AM60" s="1875">
        <v>1.5264000000000002</v>
      </c>
      <c r="AN60" s="1876">
        <v>0.39672000000000002</v>
      </c>
      <c r="AO60" s="1874">
        <f>SQRT(AP60^2+AQ60^2)*1000/(SQRT(3)*AO15)</f>
        <v>153.55793955377231</v>
      </c>
      <c r="AP60" s="1875">
        <v>1.54908</v>
      </c>
      <c r="AQ60" s="1876">
        <v>0.38339999999999996</v>
      </c>
      <c r="AR60" s="284"/>
      <c r="AS60" s="393"/>
      <c r="AT60" s="393"/>
      <c r="AU60" s="393"/>
      <c r="AV60" s="231"/>
    </row>
    <row r="61" spans="1:48" s="230" customFormat="1" ht="16.5" customHeight="1" x14ac:dyDescent="0.25">
      <c r="A61" s="1879" t="s">
        <v>420</v>
      </c>
      <c r="B61" s="1879"/>
      <c r="C61" s="1880"/>
      <c r="D61" s="1881"/>
      <c r="E61" s="1882"/>
      <c r="F61" s="1883"/>
      <c r="G61" s="1884"/>
      <c r="H61" s="1874">
        <f>SQRT(I61^2+J61^2)*1000/(SQRT(3)*H15)</f>
        <v>99.540783601496713</v>
      </c>
      <c r="I61" s="1875">
        <v>1.0087200000000001</v>
      </c>
      <c r="J61" s="1876">
        <v>0.22932</v>
      </c>
      <c r="K61" s="1874">
        <f>SQRT(L61^2+M61^2)*1000/(SQRT(3)*K15)</f>
        <v>94.649361329065513</v>
      </c>
      <c r="L61" s="1875">
        <v>0.95652000000000004</v>
      </c>
      <c r="M61" s="1876">
        <v>0.22932</v>
      </c>
      <c r="N61" s="1874">
        <f>SQRT(O61^2+P61^2)*1000/(SQRT(3)*N15)</f>
        <v>92.654254084742362</v>
      </c>
      <c r="O61" s="1875">
        <v>0.93491999999999997</v>
      </c>
      <c r="P61" s="1876">
        <v>0.23039999999999999</v>
      </c>
      <c r="Q61" s="1874">
        <f>SQRT(R61^2+S61^2)*1000/(SQRT(3)*Q15)</f>
        <v>92.132893148972599</v>
      </c>
      <c r="R61" s="1875">
        <v>0.9291600000000001</v>
      </c>
      <c r="S61" s="1876">
        <v>0.23111999999999999</v>
      </c>
      <c r="T61" s="1874">
        <f>SQRT(U61^2+V61^2)*1000/(SQRT(3)*T15)</f>
        <v>91.334808260596915</v>
      </c>
      <c r="U61" s="1875">
        <v>0.92124000000000006</v>
      </c>
      <c r="V61" s="1876">
        <v>0.22860000000000003</v>
      </c>
      <c r="W61" s="1874">
        <f>SQRT(X61^2+Y61^2)*1000/(SQRT(3)*W15)</f>
        <v>99.078181250969664</v>
      </c>
      <c r="X61" s="1875">
        <v>1.0029600000000001</v>
      </c>
      <c r="Y61" s="1876">
        <v>0.23292000000000002</v>
      </c>
      <c r="Z61" s="1874">
        <f>SQRT(AA61^2+AB61^2)*1000/(SQRT(3)*Z15)</f>
        <v>114.1403189061604</v>
      </c>
      <c r="AA61" s="1875">
        <v>1.16316</v>
      </c>
      <c r="AB61" s="1876">
        <v>0.23255999999999999</v>
      </c>
      <c r="AC61" s="1874">
        <f>SQRT(AD61^2+AE61^2)*1000/(SQRT(3)*AC15)</f>
        <v>128.00667326354511</v>
      </c>
      <c r="AD61" s="1875">
        <v>1.3071599999999999</v>
      </c>
      <c r="AE61" s="1876">
        <v>0.24696000000000001</v>
      </c>
      <c r="AF61" s="1874">
        <f>SQRT(AG61^2+AH61^2)*1000/(SQRT(3)*AF15)</f>
        <v>135.29914412146144</v>
      </c>
      <c r="AG61" s="1875">
        <v>1.3820399999999999</v>
      </c>
      <c r="AH61" s="1876">
        <v>0.25883999999999996</v>
      </c>
      <c r="AI61" s="1874">
        <f>SQRT(AJ61^2+AK61^2)*1000/(SQRT(3)*AI15)</f>
        <v>145.22692725524425</v>
      </c>
      <c r="AJ61" s="1875">
        <v>1.48644</v>
      </c>
      <c r="AK61" s="1876">
        <v>0.26136000000000004</v>
      </c>
      <c r="AL61" s="1874">
        <f>SQRT(AM61^2+AN61^2)*1000/(SQRT(3)*AL15)</f>
        <v>146.32637902989333</v>
      </c>
      <c r="AM61" s="1875">
        <v>1.4994000000000001</v>
      </c>
      <c r="AN61" s="1876">
        <v>0.25344</v>
      </c>
      <c r="AO61" s="1874">
        <f>SQRT(AP61^2+AQ61^2)*1000/(SQRT(3)*AO15)</f>
        <v>145.59714695006903</v>
      </c>
      <c r="AP61" s="1875">
        <v>1.4922</v>
      </c>
      <c r="AQ61" s="1876">
        <v>0.25056</v>
      </c>
      <c r="AR61" s="284"/>
      <c r="AS61" s="393"/>
      <c r="AT61" s="393"/>
      <c r="AU61" s="393"/>
      <c r="AV61" s="231"/>
    </row>
    <row r="62" spans="1:48" s="230" customFormat="1" ht="16.5" customHeight="1" x14ac:dyDescent="0.25">
      <c r="A62" s="1879" t="s">
        <v>421</v>
      </c>
      <c r="B62" s="1879"/>
      <c r="C62" s="1880"/>
      <c r="D62" s="1881"/>
      <c r="E62" s="1882"/>
      <c r="F62" s="1883"/>
      <c r="G62" s="1884"/>
      <c r="H62" s="1874">
        <f>SQRT(I62^2+J62^2)*1000/(SQRT(3)*H23)</f>
        <v>12.839906541715948</v>
      </c>
      <c r="I62" s="1875">
        <v>0.13283999999999999</v>
      </c>
      <c r="J62" s="1876">
        <v>1.2600000000000002E-2</v>
      </c>
      <c r="K62" s="1874">
        <f>SQRT(L62^2+M62^2)*1000/(SQRT(3)*K23)</f>
        <v>12.950042470972825</v>
      </c>
      <c r="L62" s="1875">
        <v>0.13391999999999998</v>
      </c>
      <c r="M62" s="1876">
        <v>1.332E-2</v>
      </c>
      <c r="N62" s="1874">
        <f>SQRT(O62^2+P62^2)*1000/(SQRT(3)*N23)</f>
        <v>13.36375695678427</v>
      </c>
      <c r="O62" s="1875">
        <v>0.13824</v>
      </c>
      <c r="P62" s="1876">
        <v>1.332E-2</v>
      </c>
      <c r="Q62" s="1874">
        <f>SQRT(R62^2+S62^2)*1000/(SQRT(3)*Q23)</f>
        <v>13.360479033328108</v>
      </c>
      <c r="R62" s="1875">
        <v>0.13824</v>
      </c>
      <c r="S62" s="1876">
        <v>1.2960000000000001E-2</v>
      </c>
      <c r="T62" s="1874">
        <f>SQRT(U62^2+V62^2)*1000/(SQRT(3)*T23)</f>
        <v>13.532937596841272</v>
      </c>
      <c r="U62" s="1875">
        <v>0.14004000000000003</v>
      </c>
      <c r="V62" s="1876">
        <v>1.2960000000000001E-2</v>
      </c>
      <c r="W62" s="1874">
        <f>SQRT(X62^2+Y62^2)*1000/(SQRT(3)*W23)</f>
        <v>14.019044189958169</v>
      </c>
      <c r="X62" s="1875">
        <v>0.14507999999999999</v>
      </c>
      <c r="Y62" s="1876">
        <v>1.332E-2</v>
      </c>
      <c r="Z62" s="1874">
        <f>SQRT(AA62^2+AB62^2)*1000/(SQRT(3)*Z23)</f>
        <v>14.769468507701962</v>
      </c>
      <c r="AA62" s="1875">
        <v>0.153</v>
      </c>
      <c r="AB62" s="1876">
        <v>1.2240000000000001E-2</v>
      </c>
      <c r="AC62" s="1874">
        <f>SQRT(AD62^2+AE62^2)*1000/(SQRT(3)*AC23)</f>
        <v>16.280282552830588</v>
      </c>
      <c r="AD62" s="1875">
        <v>0.16848000000000002</v>
      </c>
      <c r="AE62" s="1876">
        <v>1.5480000000000001E-2</v>
      </c>
      <c r="AF62" s="1874">
        <f>SQRT(AG62^2+AH62^2)*1000/(SQRT(3)*AF23)</f>
        <v>16.814029856045813</v>
      </c>
      <c r="AG62" s="1875">
        <v>0.17388000000000001</v>
      </c>
      <c r="AH62" s="1876">
        <v>1.728E-2</v>
      </c>
      <c r="AI62" s="1874">
        <f>SQRT(AJ62^2+AK62^2)*1000/(SQRT(3)*AI23)</f>
        <v>16.669385111635041</v>
      </c>
      <c r="AJ62" s="1875">
        <v>0.17244000000000001</v>
      </c>
      <c r="AK62" s="1876">
        <v>1.6559999999999998E-2</v>
      </c>
      <c r="AL62" s="1874">
        <f>SQRT(AM62^2+AN62^2)*1000/(SQRT(3)*AL23)</f>
        <v>17.538072870187307</v>
      </c>
      <c r="AM62" s="1875">
        <v>0.18143999999999999</v>
      </c>
      <c r="AN62" s="1876">
        <v>1.728E-2</v>
      </c>
      <c r="AO62" s="1874">
        <f>SQRT(AP62^2+AQ62^2)*1000/(SQRT(3)*AO23)</f>
        <v>15.776615606650239</v>
      </c>
      <c r="AP62" s="1875">
        <v>0.16307999999999997</v>
      </c>
      <c r="AQ62" s="1876">
        <v>1.6920000000000001E-2</v>
      </c>
      <c r="AR62" s="284"/>
      <c r="AS62" s="393"/>
      <c r="AT62" s="393"/>
      <c r="AU62" s="393"/>
      <c r="AV62" s="231"/>
    </row>
    <row r="63" spans="1:48" s="230" customFormat="1" ht="16.5" customHeight="1" x14ac:dyDescent="0.25">
      <c r="A63" s="1879" t="s">
        <v>422</v>
      </c>
      <c r="B63" s="1879"/>
      <c r="C63" s="1880"/>
      <c r="D63" s="1881"/>
      <c r="E63" s="1882"/>
      <c r="F63" s="1883"/>
      <c r="G63" s="1884"/>
      <c r="H63" s="1874">
        <f>SQRT(I63^2+J63^2)*1000/(SQRT(3)*H23)</f>
        <v>128.25529228846659</v>
      </c>
      <c r="I63" s="1875">
        <v>1.2906</v>
      </c>
      <c r="J63" s="1876">
        <v>0.33300000000000002</v>
      </c>
      <c r="K63" s="1874">
        <f>SQRT(L63^2+M63^2)*1000/(SQRT(3)*K23)</f>
        <v>125.31902170061812</v>
      </c>
      <c r="L63" s="1875">
        <v>1.2581999999999998</v>
      </c>
      <c r="M63" s="1876">
        <v>0.33623999999999998</v>
      </c>
      <c r="N63" s="1874">
        <f>SQRT(O63^2+P63^2)*1000/(SQRT(3)*N23)</f>
        <v>121.74768334551585</v>
      </c>
      <c r="O63" s="1875">
        <v>1.22004</v>
      </c>
      <c r="P63" s="1876">
        <v>0.33515999999999996</v>
      </c>
      <c r="Q63" s="1874">
        <f>SQRT(R63^2+S63^2)*1000/(SQRT(3)*Q23)</f>
        <v>119.51277086571125</v>
      </c>
      <c r="R63" s="1875">
        <v>1.1966399999999999</v>
      </c>
      <c r="S63" s="1876">
        <v>0.33263999999999999</v>
      </c>
      <c r="T63" s="1874">
        <f>SQRT(U63^2+V63^2)*1000/(SQRT(3)*T23)</f>
        <v>120.51398922946663</v>
      </c>
      <c r="U63" s="1875">
        <v>1.20852</v>
      </c>
      <c r="V63" s="1876">
        <v>0.32868000000000003</v>
      </c>
      <c r="W63" s="1874">
        <f>SQRT(X63^2+Y63^2)*1000/(SQRT(3)*W23)</f>
        <v>131.91492713108701</v>
      </c>
      <c r="X63" s="1875">
        <v>1.32948</v>
      </c>
      <c r="Y63" s="1876">
        <v>0.33444000000000002</v>
      </c>
      <c r="Z63" s="1874">
        <f>SQRT(AA63^2+AB63^2)*1000/(SQRT(3)*Z23)</f>
        <v>150.94401346194556</v>
      </c>
      <c r="AA63" s="1875">
        <v>1.5318000000000001</v>
      </c>
      <c r="AB63" s="1876">
        <v>0.33803999999999995</v>
      </c>
      <c r="AC63" s="1874">
        <f>SQRT(AD63^2+AE63^2)*1000/(SQRT(3)*AC23)</f>
        <v>161.306757452997</v>
      </c>
      <c r="AD63" s="1875">
        <v>1.6369200000000002</v>
      </c>
      <c r="AE63" s="1876">
        <v>0.36143999999999998</v>
      </c>
      <c r="AF63" s="1874">
        <f>SQRT(AG63^2+AH63^2)*1000/(SQRT(3)*AF23)</f>
        <v>169.97236834262208</v>
      </c>
      <c r="AG63" s="1875">
        <v>1.7305200000000001</v>
      </c>
      <c r="AH63" s="1876">
        <v>0.35424</v>
      </c>
      <c r="AI63" s="1874">
        <f>SQRT(AJ63^2+AK63^2)*1000/(SQRT(3)*AI23)</f>
        <v>167.54702504073296</v>
      </c>
      <c r="AJ63" s="1875">
        <v>1.70892</v>
      </c>
      <c r="AK63" s="1876">
        <v>0.33372000000000002</v>
      </c>
      <c r="AL63" s="1874">
        <f>SQRT(AM63^2+AN63^2)*1000/(SQRT(3)*AL23)</f>
        <v>159.54570505030838</v>
      </c>
      <c r="AM63" s="1875">
        <v>1.62792</v>
      </c>
      <c r="AN63" s="1876">
        <v>0.31463999999999998</v>
      </c>
      <c r="AO63" s="1874">
        <f>SQRT(AP63^2+AQ63^2)*1000/(SQRT(3)*AO23)</f>
        <v>170.40593299530391</v>
      </c>
      <c r="AP63" s="1875">
        <v>1.7373600000000002</v>
      </c>
      <c r="AQ63" s="1876">
        <v>0.34308</v>
      </c>
      <c r="AR63" s="284"/>
      <c r="AS63" s="393"/>
      <c r="AT63" s="393"/>
      <c r="AU63" s="393"/>
      <c r="AV63" s="231"/>
    </row>
    <row r="64" spans="1:48" s="230" customFormat="1" ht="16.5" customHeight="1" x14ac:dyDescent="0.25">
      <c r="A64" s="1879" t="s">
        <v>423</v>
      </c>
      <c r="B64" s="1879"/>
      <c r="C64" s="1880"/>
      <c r="D64" s="1881"/>
      <c r="E64" s="1882"/>
      <c r="F64" s="1883"/>
      <c r="G64" s="1884"/>
      <c r="H64" s="1874">
        <f>SQRT(I64^2+J64^2)*1000/(SQRT(3)*H23)</f>
        <v>96.474443247940002</v>
      </c>
      <c r="I64" s="1875">
        <v>0.99665999999999999</v>
      </c>
      <c r="J64" s="1876">
        <v>0.10890000000000001</v>
      </c>
      <c r="K64" s="1874">
        <f>SQRT(L64^2+M64^2)*1000/(SQRT(3)*K23)</f>
        <v>96.755956405794478</v>
      </c>
      <c r="L64" s="1875">
        <v>0.99972000000000005</v>
      </c>
      <c r="M64" s="1876">
        <v>0.10782</v>
      </c>
      <c r="N64" s="1874">
        <f>SQRT(O64^2+P64^2)*1000/(SQRT(3)*N23)</f>
        <v>95.338736618438574</v>
      </c>
      <c r="O64" s="1875">
        <v>0.98550000000000004</v>
      </c>
      <c r="P64" s="1876">
        <v>0.10224000000000001</v>
      </c>
      <c r="Q64" s="1874">
        <f>SQRT(R64^2+S64^2)*1000/(SQRT(3)*Q23)</f>
        <v>95.915232888212287</v>
      </c>
      <c r="R64" s="1875">
        <v>0.99126000000000003</v>
      </c>
      <c r="S64" s="1876">
        <v>0.10476000000000001</v>
      </c>
      <c r="T64" s="1874">
        <f>SQRT(U64^2+V64^2)*1000/(SQRT(3)*T23)</f>
        <v>97.239832887556943</v>
      </c>
      <c r="U64" s="1875">
        <v>1.00512</v>
      </c>
      <c r="V64" s="1876">
        <v>0.10458000000000001</v>
      </c>
      <c r="W64" s="1874">
        <f>SQRT(X64^2+Y64^2)*1000/(SQRT(3)*W23)</f>
        <v>96.743858719817453</v>
      </c>
      <c r="X64" s="1875">
        <v>0.99990000000000001</v>
      </c>
      <c r="Y64" s="1876">
        <v>0.10493999999999999</v>
      </c>
      <c r="Z64" s="1874">
        <f>SQRT(AA64^2+AB64^2)*1000/(SQRT(3)*Z23)</f>
        <v>106.11601481397615</v>
      </c>
      <c r="AA64" s="1875">
        <v>1.0978200000000002</v>
      </c>
      <c r="AB64" s="1876">
        <v>0.10458000000000001</v>
      </c>
      <c r="AC64" s="1874">
        <f>SQRT(AD64^2+AE64^2)*1000/(SQRT(3)*AC23)</f>
        <v>109.04451843169375</v>
      </c>
      <c r="AD64" s="1875">
        <v>1.1287799999999999</v>
      </c>
      <c r="AE64" s="1876">
        <v>0.10025999999999999</v>
      </c>
      <c r="AF64" s="1874">
        <f>SQRT(AG64^2+AH64^2)*1000/(SQRT(3)*AF23)</f>
        <v>110.70580608080142</v>
      </c>
      <c r="AG64" s="1875">
        <v>1.1453400000000002</v>
      </c>
      <c r="AH64" s="1876">
        <v>0.10872</v>
      </c>
      <c r="AI64" s="1874">
        <f>SQRT(AJ64^2+AK64^2)*1000/(SQRT(3)*AI23)</f>
        <v>113.11186940370141</v>
      </c>
      <c r="AJ64" s="1875">
        <v>1.1687400000000001</v>
      </c>
      <c r="AK64" s="1876">
        <v>0.12581999999999999</v>
      </c>
      <c r="AL64" s="1874">
        <f>SQRT(AM64^2+AN64^2)*1000/(SQRT(3)*AL23)</f>
        <v>116.86589879002341</v>
      </c>
      <c r="AM64" s="1875">
        <v>1.2070799999999999</v>
      </c>
      <c r="AN64" s="1876">
        <v>0.1341</v>
      </c>
      <c r="AO64" s="1874">
        <f>SQRT(AP64^2+AQ64^2)*1000/(SQRT(3)*AO23)</f>
        <v>123.79444050521818</v>
      </c>
      <c r="AP64" s="1875">
        <v>1.2781800000000001</v>
      </c>
      <c r="AQ64" s="1876">
        <v>0.14615999999999998</v>
      </c>
      <c r="AR64" s="284"/>
      <c r="AS64" s="393"/>
      <c r="AT64" s="393"/>
      <c r="AU64" s="393"/>
      <c r="AV64" s="231"/>
    </row>
    <row r="65" spans="1:48" s="230" customFormat="1" ht="16.5" customHeight="1" x14ac:dyDescent="0.25">
      <c r="A65" s="1879" t="s">
        <v>424</v>
      </c>
      <c r="B65" s="1879"/>
      <c r="C65" s="1880"/>
      <c r="D65" s="1881"/>
      <c r="E65" s="1882"/>
      <c r="F65" s="1883"/>
      <c r="G65" s="1884"/>
      <c r="H65" s="1874">
        <f>SQRT(I65^2+J65^2)*1000/(SQRT(3)*H23)</f>
        <v>11.639896906759954</v>
      </c>
      <c r="I65" s="1875">
        <v>0.10979999999999999</v>
      </c>
      <c r="J65" s="1876">
        <v>5.076E-2</v>
      </c>
      <c r="K65" s="1874">
        <f>SQRT(L65^2+M65^2)*1000/(SQRT(3)*K23)</f>
        <v>11.482909039089353</v>
      </c>
      <c r="L65" s="1875">
        <v>0.108</v>
      </c>
      <c r="M65" s="1876">
        <v>5.076E-2</v>
      </c>
      <c r="N65" s="1874">
        <f>SQRT(O65^2+P65^2)*1000/(SQRT(3)*N23)</f>
        <v>11.387624862103598</v>
      </c>
      <c r="O65" s="1875">
        <v>0.10656</v>
      </c>
      <c r="P65" s="1876">
        <v>5.1480000000000005E-2</v>
      </c>
      <c r="Q65" s="1874">
        <f>SQRT(R65^2+S65^2)*1000/(SQRT(3)*Q23)</f>
        <v>11.061283831454647</v>
      </c>
      <c r="R65" s="1875">
        <v>0.10296000000000001</v>
      </c>
      <c r="S65" s="1876">
        <v>5.1119999999999999E-2</v>
      </c>
      <c r="T65" s="1874">
        <f>SQRT(U65^2+V65^2)*1000/(SQRT(3)*T23)</f>
        <v>11.185186632327598</v>
      </c>
      <c r="U65" s="1875">
        <v>0.10404000000000001</v>
      </c>
      <c r="V65" s="1876">
        <v>5.1840000000000004E-2</v>
      </c>
      <c r="W65" s="1874">
        <f>SQRT(X65^2+Y65^2)*1000/(SQRT(3)*W23)</f>
        <v>11.046628444914765</v>
      </c>
      <c r="X65" s="1875">
        <v>0.10332</v>
      </c>
      <c r="Y65" s="1876">
        <v>5.0040000000000001E-2</v>
      </c>
      <c r="Z65" s="1874">
        <f>SQRT(AA65^2+AB65^2)*1000/(SQRT(3)*Z23)</f>
        <v>12.046808706043272</v>
      </c>
      <c r="AA65" s="1875">
        <v>0.11412</v>
      </c>
      <c r="AB65" s="1876">
        <v>5.1480000000000005E-2</v>
      </c>
      <c r="AC65" s="1874">
        <f>SQRT(AD65^2+AE65^2)*1000/(SQRT(3)*AC23)</f>
        <v>15.719732822156997</v>
      </c>
      <c r="AD65" s="1875">
        <v>0.15480000000000002</v>
      </c>
      <c r="AE65" s="1876">
        <v>5.2200000000000003E-2</v>
      </c>
      <c r="AF65" s="1874">
        <f>SQRT(AG65^2+AH65^2)*1000/(SQRT(3)*AF23)</f>
        <v>22.340125335369095</v>
      </c>
      <c r="AG65" s="1875">
        <v>0.22536</v>
      </c>
      <c r="AH65" s="1876">
        <v>5.5799999999999995E-2</v>
      </c>
      <c r="AI65" s="1874">
        <f>SQRT(AJ65^2+AK65^2)*1000/(SQRT(3)*AI23)</f>
        <v>30.313323803238735</v>
      </c>
      <c r="AJ65" s="1875">
        <v>0.30887999999999999</v>
      </c>
      <c r="AK65" s="1876">
        <v>6.1920000000000003E-2</v>
      </c>
      <c r="AL65" s="1874">
        <f>SQRT(AM65^2+AN65^2)*1000/(SQRT(3)*AL23)</f>
        <v>35.049108405207683</v>
      </c>
      <c r="AM65" s="1875">
        <v>0.35855999999999999</v>
      </c>
      <c r="AN65" s="1876">
        <v>6.4079999999999998E-2</v>
      </c>
      <c r="AO65" s="1874">
        <f>SQRT(AP65^2+AQ65^2)*1000/(SQRT(3)*AO23)</f>
        <v>35.588380126102969</v>
      </c>
      <c r="AP65" s="1875">
        <v>0.36360000000000003</v>
      </c>
      <c r="AQ65" s="1876">
        <v>6.7680000000000004E-2</v>
      </c>
      <c r="AR65" s="284"/>
      <c r="AS65" s="393"/>
      <c r="AT65" s="393"/>
      <c r="AU65" s="393"/>
      <c r="AV65" s="231"/>
    </row>
    <row r="66" spans="1:48" s="230" customFormat="1" ht="16.5" customHeight="1" x14ac:dyDescent="0.25">
      <c r="A66" s="1879" t="s">
        <v>425</v>
      </c>
      <c r="B66" s="1879"/>
      <c r="C66" s="1880"/>
      <c r="D66" s="1881"/>
      <c r="E66" s="1882"/>
      <c r="F66" s="1883"/>
      <c r="G66" s="1884"/>
      <c r="H66" s="1874">
        <f>SQRT(I66^2+J66^2)*1000/(SQRT(3)*H23)</f>
        <v>4.2659739020923855</v>
      </c>
      <c r="I66" s="1875">
        <v>3.9960000000000002E-2</v>
      </c>
      <c r="J66" s="1876">
        <v>1.9199999999999998E-2</v>
      </c>
      <c r="K66" s="1874">
        <f>SQRT(L66^2+M66^2)*1000/(SQRT(3)*K23)</f>
        <v>3.0881278039183115</v>
      </c>
      <c r="L66" s="1875">
        <v>2.8799999999999999E-2</v>
      </c>
      <c r="M66" s="1876">
        <v>1.4160000000000001E-2</v>
      </c>
      <c r="N66" s="1874">
        <f>SQRT(O66^2+P66^2)*1000/(SQRT(3)*N23)</f>
        <v>2.7694524127824738</v>
      </c>
      <c r="O66" s="1875">
        <v>2.6159999999999999E-2</v>
      </c>
      <c r="P66" s="1876">
        <v>1.2E-2</v>
      </c>
      <c r="Q66" s="1874">
        <f>SQRT(R66^2+S66^2)*1000/(SQRT(3)*Q23)</f>
        <v>2.7694524127824738</v>
      </c>
      <c r="R66" s="1875">
        <v>2.6159999999999999E-2</v>
      </c>
      <c r="S66" s="1876">
        <v>1.2E-2</v>
      </c>
      <c r="T66" s="1874">
        <f>SQRT(U66^2+V66^2)*1000/(SQRT(3)*T23)</f>
        <v>2.5502418185994311</v>
      </c>
      <c r="U66" s="1875">
        <v>2.436E-2</v>
      </c>
      <c r="V66" s="1876">
        <v>1.0440000000000001E-2</v>
      </c>
      <c r="W66" s="1874">
        <f>SQRT(X66^2+Y66^2)*1000/(SQRT(3)*W23)</f>
        <v>2.7484783669029187</v>
      </c>
      <c r="X66" s="1875">
        <v>2.5920000000000002E-2</v>
      </c>
      <c r="Y66" s="1876">
        <v>1.2E-2</v>
      </c>
      <c r="Z66" s="1874">
        <f>SQRT(AA66^2+AB66^2)*1000/(SQRT(3)*Z23)</f>
        <v>3.0934339064110179</v>
      </c>
      <c r="AA66" s="1875">
        <v>2.8920000000000001E-2</v>
      </c>
      <c r="AB66" s="1876">
        <v>1.4039999999999999E-2</v>
      </c>
      <c r="AC66" s="1874">
        <f>SQRT(AD66^2+AE66^2)*1000/(SQRT(3)*AC23)</f>
        <v>4.1895266240153344</v>
      </c>
      <c r="AD66" s="1875">
        <v>3.8399999999999997E-2</v>
      </c>
      <c r="AE66" s="1876">
        <v>2.052E-2</v>
      </c>
      <c r="AF66" s="1874">
        <f>SQRT(AG66^2+AH66^2)*1000/(SQRT(3)*AF23)</f>
        <v>4.57041208937079</v>
      </c>
      <c r="AG66" s="1875">
        <v>4.2720000000000001E-2</v>
      </c>
      <c r="AH66" s="1876">
        <v>2.0759999999999997E-2</v>
      </c>
      <c r="AI66" s="1874">
        <f>SQRT(AJ66^2+AK66^2)*1000/(SQRT(3)*AI23)</f>
        <v>4.5454739393525649</v>
      </c>
      <c r="AJ66" s="1875">
        <v>4.2720000000000001E-2</v>
      </c>
      <c r="AK66" s="1876">
        <v>2.0160000000000001E-2</v>
      </c>
      <c r="AL66" s="1874">
        <f>SQRT(AM66^2+AN66^2)*1000/(SQRT(3)*AL23)</f>
        <v>4.6582543225261253</v>
      </c>
      <c r="AM66" s="1875">
        <v>4.3560000000000001E-2</v>
      </c>
      <c r="AN66" s="1876">
        <v>2.1119999999999996E-2</v>
      </c>
      <c r="AO66" s="1874">
        <f>SQRT(AP66^2+AQ66^2)*1000/(SQRT(3)*AO23)</f>
        <v>4.219020423431644</v>
      </c>
      <c r="AP66" s="1875">
        <v>3.9120000000000002E-2</v>
      </c>
      <c r="AQ66" s="1876">
        <v>1.9799999999999998E-2</v>
      </c>
      <c r="AR66" s="284"/>
      <c r="AS66" s="393"/>
      <c r="AT66" s="393"/>
      <c r="AU66" s="393"/>
      <c r="AV66" s="231"/>
    </row>
    <row r="67" spans="1:48" s="230" customFormat="1" ht="16.5" customHeight="1" x14ac:dyDescent="0.25">
      <c r="A67" s="1879" t="s">
        <v>426</v>
      </c>
      <c r="B67" s="1879"/>
      <c r="C67" s="1880"/>
      <c r="D67" s="1881"/>
      <c r="E67" s="1882"/>
      <c r="F67" s="1883"/>
      <c r="G67" s="1884"/>
      <c r="H67" s="1874">
        <f>SQRT(I67^2+J67^2)*1000/(SQRT(3)*H23)</f>
        <v>107.30622162763909</v>
      </c>
      <c r="I67" s="1875">
        <v>1.0929599999999999</v>
      </c>
      <c r="J67" s="1876">
        <v>0.22139999999999999</v>
      </c>
      <c r="K67" s="1874">
        <f>SQRT(L67^2+M67^2)*1000/(SQRT(3)*K23)</f>
        <v>102.42716436570916</v>
      </c>
      <c r="L67" s="1875">
        <v>1.04148</v>
      </c>
      <c r="M67" s="1876">
        <v>0.21995999999999999</v>
      </c>
      <c r="N67" s="1874">
        <f>SQRT(O67^2+P67^2)*1000/(SQRT(3)*N23)</f>
        <v>98.513946220827023</v>
      </c>
      <c r="O67" s="1875">
        <v>0.99972000000000005</v>
      </c>
      <c r="P67" s="1876">
        <v>0.22068000000000002</v>
      </c>
      <c r="Q67" s="1874">
        <f>SQRT(R67^2+S67^2)*1000/(SQRT(3)*Q23)</f>
        <v>97.142705336015837</v>
      </c>
      <c r="R67" s="1875">
        <v>0.98496000000000006</v>
      </c>
      <c r="S67" s="1876">
        <v>0.22139999999999999</v>
      </c>
      <c r="T67" s="1874">
        <f>SQRT(U67^2+V67^2)*1000/(SQRT(3)*T23)</f>
        <v>100.92689631609603</v>
      </c>
      <c r="U67" s="1875">
        <v>1.02024</v>
      </c>
      <c r="V67" s="1876">
        <v>0.24336000000000002</v>
      </c>
      <c r="W67" s="1874">
        <f>SQRT(X67^2+Y67^2)*1000/(SQRT(3)*W23)</f>
        <v>113.39235953096664</v>
      </c>
      <c r="X67" s="1875">
        <v>1.1484000000000001</v>
      </c>
      <c r="Y67" s="1876">
        <v>0.26424000000000003</v>
      </c>
      <c r="Z67" s="1874">
        <f>SQRT(AA67^2+AB67^2)*1000/(SQRT(3)*Z23)</f>
        <v>133.70644711456512</v>
      </c>
      <c r="AA67" s="1875">
        <v>1.3618800000000002</v>
      </c>
      <c r="AB67" s="1876">
        <v>0.27576000000000001</v>
      </c>
      <c r="AC67" s="1874">
        <f>SQRT(AD67^2+AE67^2)*1000/(SQRT(3)*AC23)</f>
        <v>149.47688784557965</v>
      </c>
      <c r="AD67" s="1875">
        <v>1.53108</v>
      </c>
      <c r="AE67" s="1876">
        <v>0.26244000000000001</v>
      </c>
      <c r="AF67" s="1874">
        <f>SQRT(AG67^2+AH67^2)*1000/(SQRT(3)*AF23)</f>
        <v>157.89258880644147</v>
      </c>
      <c r="AG67" s="1875">
        <v>1.6189200000000001</v>
      </c>
      <c r="AH67" s="1876">
        <v>0.26748</v>
      </c>
      <c r="AI67" s="1874">
        <f>SQRT(AJ67^2+AK67^2)*1000/(SQRT(3)*AI23)</f>
        <v>161.53742105159412</v>
      </c>
      <c r="AJ67" s="1875">
        <v>1.6563600000000001</v>
      </c>
      <c r="AK67" s="1876">
        <v>0.27323999999999998</v>
      </c>
      <c r="AL67" s="1874">
        <f>SQRT(AM67^2+AN67^2)*1000/(SQRT(3)*AL23)</f>
        <v>162.64662800070587</v>
      </c>
      <c r="AM67" s="1875">
        <v>1.6693199999999999</v>
      </c>
      <c r="AN67" s="1876">
        <v>0.26532</v>
      </c>
      <c r="AO67" s="1874">
        <f>SQRT(AP67^2+AQ67^2)*1000/(SQRT(3)*AO23)</f>
        <v>166.25274975169583</v>
      </c>
      <c r="AP67" s="1875">
        <v>1.7045999999999999</v>
      </c>
      <c r="AQ67" s="1876">
        <v>0.28188000000000002</v>
      </c>
      <c r="AR67" s="284"/>
      <c r="AS67" s="393"/>
      <c r="AT67" s="393"/>
      <c r="AU67" s="393"/>
      <c r="AV67" s="231"/>
    </row>
    <row r="68" spans="1:48" s="230" customFormat="1" ht="16.5" customHeight="1" x14ac:dyDescent="0.25">
      <c r="A68" s="1879" t="s">
        <v>427</v>
      </c>
      <c r="B68" s="1879"/>
      <c r="C68" s="1880"/>
      <c r="D68" s="1881"/>
      <c r="E68" s="1882"/>
      <c r="F68" s="1883"/>
      <c r="G68" s="1884"/>
      <c r="H68" s="1874">
        <f>SQRT(I68^2+J68^2)*1000/(SQRT(3)*H23)</f>
        <v>25.082990252360265</v>
      </c>
      <c r="I68" s="1875">
        <v>0.23183999999999999</v>
      </c>
      <c r="J68" s="1876">
        <v>0.11916</v>
      </c>
      <c r="K68" s="1874">
        <f>SQRT(L68^2+M68^2)*1000/(SQRT(3)*K23)</f>
        <v>24.595145862547753</v>
      </c>
      <c r="L68" s="1875">
        <v>0.22536</v>
      </c>
      <c r="M68" s="1876">
        <v>0.1206</v>
      </c>
      <c r="N68" s="1874">
        <f>SQRT(O68^2+P68^2)*1000/(SQRT(3)*N23)</f>
        <v>24.431250479662314</v>
      </c>
      <c r="O68" s="1875">
        <v>0.22283999999999998</v>
      </c>
      <c r="P68" s="1876">
        <v>0.12168000000000001</v>
      </c>
      <c r="Q68" s="1874">
        <f>SQRT(R68^2+S68^2)*1000/(SQRT(3)*Q23)</f>
        <v>19.33403217127767</v>
      </c>
      <c r="R68" s="1875">
        <v>0.18</v>
      </c>
      <c r="S68" s="1876">
        <v>8.9279999999999998E-2</v>
      </c>
      <c r="T68" s="1874">
        <f>SQRT(U68^2+V68^2)*1000/(SQRT(3)*T23)</f>
        <v>18.531778112204993</v>
      </c>
      <c r="U68" s="1875">
        <v>0.17388000000000001</v>
      </c>
      <c r="V68" s="1876">
        <v>8.2799999999999999E-2</v>
      </c>
      <c r="W68" s="1874">
        <f>SQRT(X68^2+Y68^2)*1000/(SQRT(3)*W23)</f>
        <v>18.69026484563555</v>
      </c>
      <c r="X68" s="1875">
        <v>0.17604000000000003</v>
      </c>
      <c r="Y68" s="1876">
        <v>8.208E-2</v>
      </c>
      <c r="Z68" s="1874">
        <f>SQRT(AA68^2+AB68^2)*1000/(SQRT(3)*Z23)</f>
        <v>22.021035398000702</v>
      </c>
      <c r="AA68" s="1875">
        <v>0.21131999999999998</v>
      </c>
      <c r="AB68" s="1876">
        <v>8.7840000000000001E-2</v>
      </c>
      <c r="AC68" s="1874">
        <f>SQRT(AD68^2+AE68^2)*1000/(SQRT(3)*AC23)</f>
        <v>26.355075412527277</v>
      </c>
      <c r="AD68" s="1875">
        <v>0.25739999999999996</v>
      </c>
      <c r="AE68" s="1876">
        <v>9.3599999999999989E-2</v>
      </c>
      <c r="AF68" s="1874">
        <f>SQRT(AG68^2+AH68^2)*1000/(SQRT(3)*AF23)</f>
        <v>34.507216636524021</v>
      </c>
      <c r="AG68" s="1875">
        <v>0.33588000000000001</v>
      </c>
      <c r="AH68" s="1876">
        <v>0.12564</v>
      </c>
      <c r="AI68" s="1874">
        <f>SQRT(AJ68^2+AK68^2)*1000/(SQRT(3)*AI23)</f>
        <v>38.983134814942716</v>
      </c>
      <c r="AJ68" s="1875">
        <v>0.37727999999999995</v>
      </c>
      <c r="AK68" s="1876">
        <v>0.14759999999999998</v>
      </c>
      <c r="AL68" s="1874">
        <f>SQRT(AM68^2+AN68^2)*1000/(SQRT(3)*AL23)</f>
        <v>35.087724349122439</v>
      </c>
      <c r="AM68" s="1875">
        <v>0.34523999999999999</v>
      </c>
      <c r="AN68" s="1876">
        <v>0.11736000000000001</v>
      </c>
      <c r="AO68" s="1874">
        <f>SQRT(AP68^2+AQ68^2)*1000/(SQRT(3)*AO23)</f>
        <v>33.138346367916434</v>
      </c>
      <c r="AP68" s="1875">
        <v>0.3276</v>
      </c>
      <c r="AQ68" s="1876">
        <v>0.1062</v>
      </c>
      <c r="AR68" s="284"/>
      <c r="AS68" s="393"/>
      <c r="AT68" s="393"/>
      <c r="AU68" s="393"/>
      <c r="AV68" s="231"/>
    </row>
    <row r="69" spans="1:48" s="230" customFormat="1" ht="16.5" customHeight="1" thickBot="1" x14ac:dyDescent="0.3">
      <c r="A69" s="1904" t="s">
        <v>428</v>
      </c>
      <c r="B69" s="1904"/>
      <c r="C69" s="1905"/>
      <c r="D69" s="1906"/>
      <c r="E69" s="1907"/>
      <c r="F69" s="1908"/>
      <c r="G69" s="1909"/>
      <c r="H69" s="1888">
        <f>SQRT(I69^2+J69^2)*1000/(SQRT(3)*H23)</f>
        <v>52.647165165847241</v>
      </c>
      <c r="I69" s="1910">
        <v>0.51876</v>
      </c>
      <c r="J69" s="1911">
        <v>0.17388000000000001</v>
      </c>
      <c r="K69" s="1888">
        <f>SQRT(L69^2+M69^2)*1000/(SQRT(3)*K23)</f>
        <v>49.372247265037473</v>
      </c>
      <c r="L69" s="1910">
        <v>0.48599999999999999</v>
      </c>
      <c r="M69" s="1911">
        <v>0.16451999999999997</v>
      </c>
      <c r="N69" s="1888">
        <f>SQRT(O69^2+P69^2)*1000/(SQRT(3)*N23)</f>
        <v>48.419789342788349</v>
      </c>
      <c r="O69" s="1910">
        <v>0.47627999999999998</v>
      </c>
      <c r="P69" s="1911">
        <v>0.16236</v>
      </c>
      <c r="Q69" s="1888">
        <f>SQRT(R69^2+S69^2)*1000/(SQRT(3)*Q23)</f>
        <v>47.970453406237468</v>
      </c>
      <c r="R69" s="1910">
        <v>0.47196000000000005</v>
      </c>
      <c r="S69" s="1911">
        <v>0.16056000000000001</v>
      </c>
      <c r="T69" s="1888">
        <f>SQRT(U69^2+V69^2)*1000/(SQRT(3)*T23)</f>
        <v>47.642632169098299</v>
      </c>
      <c r="U69" s="1910">
        <v>0.46836</v>
      </c>
      <c r="V69" s="1911">
        <v>0.16056000000000001</v>
      </c>
      <c r="W69" s="1888">
        <f>SQRT(X69^2+Y69^2)*1000/(SQRT(3)*W23)</f>
        <v>48.331877679229464</v>
      </c>
      <c r="X69" s="1910">
        <v>0.47555999999999998</v>
      </c>
      <c r="Y69" s="1911">
        <v>0.16163999999999998</v>
      </c>
      <c r="Z69" s="1888">
        <f>SQRT(AA69^2+AB69^2)*1000/(SQRT(3)*Z23)</f>
        <v>52.450170638425938</v>
      </c>
      <c r="AA69" s="1910">
        <v>0.52055999999999991</v>
      </c>
      <c r="AB69" s="1911">
        <v>0.16163999999999998</v>
      </c>
      <c r="AC69" s="1888">
        <f>SQRT(AD69^2+AE69^2)*1000/(SQRT(3)*AC23)</f>
        <v>61.519655395653835</v>
      </c>
      <c r="AD69" s="1910">
        <v>0.61163999999999996</v>
      </c>
      <c r="AE69" s="1911">
        <v>0.18612000000000001</v>
      </c>
      <c r="AF69" s="1888">
        <f>SQRT(AG69^2+AH69^2)*1000/(SQRT(3)*AF23)</f>
        <v>66.491488177059168</v>
      </c>
      <c r="AG69" s="1910">
        <v>0.66635999999999995</v>
      </c>
      <c r="AH69" s="1911">
        <v>0.18287999999999999</v>
      </c>
      <c r="AI69" s="1888">
        <f>SQRT(AJ69^2+AK69^2)*1000/(SQRT(3)*AI23)</f>
        <v>66.290569465045309</v>
      </c>
      <c r="AJ69" s="1910">
        <v>0.65952</v>
      </c>
      <c r="AK69" s="1911">
        <v>0.19907999999999998</v>
      </c>
      <c r="AL69" s="1888">
        <f>SQRT(AM69^2+AN69^2)*1000/(SQRT(3)*AL23)</f>
        <v>62.976890999794513</v>
      </c>
      <c r="AM69" s="1910">
        <v>0.62459999999999993</v>
      </c>
      <c r="AN69" s="1911">
        <v>0.19548000000000001</v>
      </c>
      <c r="AO69" s="1888">
        <f>SQRT(AP69^2+AQ69^2)*1000/(SQRT(3)*AO23)</f>
        <v>61.749697974969891</v>
      </c>
      <c r="AP69" s="1910">
        <v>0.61596000000000006</v>
      </c>
      <c r="AQ69" s="1911">
        <v>0.18</v>
      </c>
      <c r="AR69" s="284"/>
      <c r="AS69" s="393"/>
      <c r="AT69" s="393"/>
      <c r="AU69" s="393"/>
      <c r="AV69" s="231"/>
    </row>
    <row r="70" spans="1:48" s="230" customFormat="1" ht="16.5" customHeight="1" x14ac:dyDescent="0.25">
      <c r="A70" s="1912" t="s">
        <v>100</v>
      </c>
      <c r="B70" s="1913"/>
      <c r="C70" s="1914"/>
      <c r="D70" s="1915"/>
      <c r="E70" s="1916"/>
      <c r="F70" s="1917"/>
      <c r="G70" s="1918"/>
      <c r="H70" s="1919">
        <f>SQRT(I70^2+J70^2)*1000/(SQRT(3)*0.395)</f>
        <v>47.339470599980622</v>
      </c>
      <c r="I70" s="1920">
        <v>3.2280000000000003E-2</v>
      </c>
      <c r="J70" s="1921">
        <v>2.6399999999999996E-3</v>
      </c>
      <c r="K70" s="1919">
        <f>SQRT(L70^2+M70^2)*1000/(SQRT(3)*0.395)</f>
        <v>43.93909930807785</v>
      </c>
      <c r="L70" s="1920">
        <v>0.03</v>
      </c>
      <c r="M70" s="1921">
        <v>1.9199999999999998E-3</v>
      </c>
      <c r="N70" s="1919">
        <f>SQRT(O70^2+P70^2)*1000/(SQRT(3)*0.395)</f>
        <v>40.065960676553189</v>
      </c>
      <c r="O70" s="1920">
        <v>2.7359999999999999E-2</v>
      </c>
      <c r="P70" s="1921">
        <v>1.6799999999999996E-3</v>
      </c>
      <c r="Q70" s="1919">
        <f>SQRT(R70^2+S70^2)*1000/(SQRT(3)*0.395)</f>
        <v>46.087854909216503</v>
      </c>
      <c r="R70" s="1920">
        <v>3.1440000000000003E-2</v>
      </c>
      <c r="S70" s="1921">
        <v>2.4000000000000002E-3</v>
      </c>
      <c r="T70" s="1919">
        <f>SQRT(U70^2+V70^2)*1000/(SQRT(3)*0.395)</f>
        <v>43.250702856120974</v>
      </c>
      <c r="U70" s="1920">
        <v>2.9520000000000005E-2</v>
      </c>
      <c r="V70" s="1921">
        <v>2.0400000000000001E-3</v>
      </c>
      <c r="W70" s="1919">
        <f>SQRT(X70^2+Y70^2)*1000/(SQRT(3)*0.395)</f>
        <v>41.64168347841138</v>
      </c>
      <c r="X70" s="1920">
        <v>2.8439999999999997E-2</v>
      </c>
      <c r="Y70" s="1921">
        <v>1.6800000000000001E-3</v>
      </c>
      <c r="Z70" s="1919">
        <f>SQRT(AA70^2+AB70^2)*1000/(SQRT(3)*0.395)</f>
        <v>47.68910694620638</v>
      </c>
      <c r="AA70" s="1920">
        <v>3.2519999999999993E-2</v>
      </c>
      <c r="AB70" s="1921">
        <v>2.64E-3</v>
      </c>
      <c r="AC70" s="1919">
        <f>SQRT(AD70^2+AE70^2)*1000/(SQRT(3)*0.395)</f>
        <v>45.700739632398133</v>
      </c>
      <c r="AD70" s="1920">
        <v>3.1199999999999999E-2</v>
      </c>
      <c r="AE70" s="1921">
        <v>2.0400000000000001E-3</v>
      </c>
      <c r="AF70" s="1919">
        <f>SQRT(AG70^2+AH70^2)*1000/(SQRT(3)*0.395)</f>
        <v>41.9819816226508</v>
      </c>
      <c r="AG70" s="1920">
        <v>2.8680000000000001E-2</v>
      </c>
      <c r="AH70" s="1921">
        <v>1.56E-3</v>
      </c>
      <c r="AI70" s="1919">
        <f>SQRT(AJ70^2+AK70^2)*1000/(SQRT(3)*0.395)</f>
        <v>50.733570829393678</v>
      </c>
      <c r="AJ70" s="1920">
        <v>3.4439999999999998E-2</v>
      </c>
      <c r="AK70" s="1921">
        <v>4.3200000000000001E-3</v>
      </c>
      <c r="AL70" s="1919">
        <f>SQRT(AM70^2+AN70^2)*1000/(SQRT(3)*0.395)</f>
        <v>44.839038087862335</v>
      </c>
      <c r="AM70" s="1920">
        <v>3.0240000000000003E-2</v>
      </c>
      <c r="AN70" s="1921">
        <v>5.1600000000000005E-3</v>
      </c>
      <c r="AO70" s="1919">
        <f>SQRT(AP70^2+AQ70^2)*1000/(SQRT(3)*0.395)</f>
        <v>48.047725032391867</v>
      </c>
      <c r="AP70" s="1920">
        <v>3.252E-2</v>
      </c>
      <c r="AQ70" s="1921">
        <v>4.7999999999999996E-3</v>
      </c>
      <c r="AR70" s="284"/>
      <c r="AS70" s="393"/>
      <c r="AT70" s="393"/>
      <c r="AU70" s="393"/>
      <c r="AV70" s="231"/>
    </row>
    <row r="71" spans="1:48" s="230" customFormat="1" ht="16.5" customHeight="1" thickBot="1" x14ac:dyDescent="0.3">
      <c r="A71" s="1922" t="s">
        <v>101</v>
      </c>
      <c r="B71" s="1923"/>
      <c r="C71" s="1924"/>
      <c r="D71" s="1925"/>
      <c r="E71" s="1926"/>
      <c r="F71" s="1927"/>
      <c r="G71" s="1928"/>
      <c r="H71" s="1929">
        <f>SQRT(I71^2+J71^2)*1000/(SQRT(3)*0.395)</f>
        <v>76.223908856507521</v>
      </c>
      <c r="I71" s="1930">
        <v>5.1959999999999999E-2</v>
      </c>
      <c r="J71" s="1931">
        <v>4.4399999999999995E-3</v>
      </c>
      <c r="K71" s="1929">
        <f>SQRT(L71^2+M71^2)*1000/(SQRT(3)*0.395)</f>
        <v>71.768468192922541</v>
      </c>
      <c r="L71" s="1930">
        <v>4.8960000000000004E-2</v>
      </c>
      <c r="M71" s="1931">
        <v>3.7199999999999998E-3</v>
      </c>
      <c r="N71" s="1929">
        <f>SQRT(O71^2+P71^2)*1000/(SQRT(3)*0.395)</f>
        <v>66.712199373616684</v>
      </c>
      <c r="O71" s="1930">
        <v>4.5480000000000007E-2</v>
      </c>
      <c r="P71" s="1931">
        <v>3.8400000000000001E-3</v>
      </c>
      <c r="Q71" s="1929">
        <f>SQRT(R71^2+S71^2)*1000/(SQRT(3)*0.395)</f>
        <v>76.74820397254085</v>
      </c>
      <c r="R71" s="1930">
        <v>5.2319999999999998E-2</v>
      </c>
      <c r="S71" s="1931">
        <v>4.4400000000000004E-3</v>
      </c>
      <c r="T71" s="1929">
        <f>SQRT(U71^2+V71^2)*1000/(SQRT(3)*0.395)</f>
        <v>81.482120761830572</v>
      </c>
      <c r="U71" s="1930">
        <v>5.5560000000000005E-2</v>
      </c>
      <c r="V71" s="1931">
        <v>4.5599999999999998E-3</v>
      </c>
      <c r="W71" s="1929">
        <f>SQRT(X71^2+Y71^2)*1000/(SQRT(3)*0.395)</f>
        <v>78.054077614218059</v>
      </c>
      <c r="X71" s="1930">
        <v>5.3280000000000001E-2</v>
      </c>
      <c r="Y71" s="1931">
        <v>3.5999999999999995E-3</v>
      </c>
      <c r="Z71" s="1929">
        <f>SQRT(AA71^2+AB71^2)*1000/(SQRT(3)*0.395)</f>
        <v>86.580324206237009</v>
      </c>
      <c r="AA71" s="1930">
        <v>5.9040000000000009E-2</v>
      </c>
      <c r="AB71" s="1931">
        <v>4.8000000000000004E-3</v>
      </c>
      <c r="AC71" s="1929">
        <f>SQRT(AD71^2+AE71^2)*1000/(SQRT(3)*0.395)</f>
        <v>83.539700678712421</v>
      </c>
      <c r="AD71" s="1930">
        <v>5.7000000000000002E-2</v>
      </c>
      <c r="AE71" s="1931">
        <v>4.2000000000000006E-3</v>
      </c>
      <c r="AF71" s="1929">
        <f>SQRT(AG71^2+AH71^2)*1000/(SQRT(3)*0.395)</f>
        <v>79.540420019763317</v>
      </c>
      <c r="AG71" s="1930">
        <v>5.4359999999999999E-2</v>
      </c>
      <c r="AH71" s="1931">
        <v>2.5199999999999997E-3</v>
      </c>
      <c r="AI71" s="1929">
        <f>SQRT(AJ71^2+AK71^2)*1000/(SQRT(3)*0.395)</f>
        <v>125.55095818856572</v>
      </c>
      <c r="AJ71" s="1930">
        <v>8.5800000000000001E-2</v>
      </c>
      <c r="AK71" s="1931">
        <v>4.0800000000000003E-3</v>
      </c>
      <c r="AL71" s="1929">
        <f>SQRT(AM71^2+AN71^2)*1000/(SQRT(3)*0.395)</f>
        <v>144.56599763377091</v>
      </c>
      <c r="AM71" s="1930">
        <v>9.8879999999999996E-2</v>
      </c>
      <c r="AN71" s="1931">
        <v>2.2800000000000003E-3</v>
      </c>
      <c r="AO71" s="1929">
        <f>SQRT(AP71^2+AQ71^2)*1000/(SQRT(3)*0.395)</f>
        <v>125.49213615913314</v>
      </c>
      <c r="AP71" s="1930">
        <v>8.5800000000000001E-2</v>
      </c>
      <c r="AQ71" s="1931">
        <v>3.1199999999999995E-3</v>
      </c>
      <c r="AR71" s="284"/>
      <c r="AS71" s="393"/>
      <c r="AT71" s="393"/>
      <c r="AU71" s="393"/>
      <c r="AV71" s="231"/>
    </row>
    <row r="72" spans="1:48" s="616" customFormat="1" ht="18" customHeight="1" x14ac:dyDescent="0.25">
      <c r="A72" s="2543" t="s">
        <v>429</v>
      </c>
      <c r="B72" s="2544"/>
      <c r="C72" s="2544"/>
      <c r="D72" s="2544"/>
      <c r="E72" s="2544"/>
      <c r="F72" s="2544"/>
      <c r="G72" s="2545"/>
      <c r="H72" s="1889">
        <f t="shared" ref="H72:AQ72" si="4">H56+H57+H58+H59+H60+H61+H70</f>
        <v>380.47976802978468</v>
      </c>
      <c r="I72" s="1890">
        <f t="shared" si="4"/>
        <v>3.3840000000000003</v>
      </c>
      <c r="J72" s="1891">
        <f t="shared" si="4"/>
        <v>0.85919999999999996</v>
      </c>
      <c r="K72" s="1889">
        <f t="shared" si="4"/>
        <v>367.76998435448434</v>
      </c>
      <c r="L72" s="1890">
        <f t="shared" si="4"/>
        <v>3.2827199999999999</v>
      </c>
      <c r="M72" s="1891">
        <f t="shared" si="4"/>
        <v>0.85655999999999988</v>
      </c>
      <c r="N72" s="1889">
        <f t="shared" si="4"/>
        <v>359.11007592259142</v>
      </c>
      <c r="O72" s="1890">
        <f t="shared" si="4"/>
        <v>3.2257199999999999</v>
      </c>
      <c r="P72" s="1891">
        <f t="shared" si="4"/>
        <v>0.86628000000000005</v>
      </c>
      <c r="Q72" s="1889">
        <f t="shared" si="4"/>
        <v>363.05798120092658</v>
      </c>
      <c r="R72" s="1890">
        <f t="shared" si="4"/>
        <v>3.2065199999999998</v>
      </c>
      <c r="S72" s="1891">
        <f t="shared" si="4"/>
        <v>0.87047999999999992</v>
      </c>
      <c r="T72" s="1889">
        <f t="shared" si="4"/>
        <v>363.98595599624184</v>
      </c>
      <c r="U72" s="1890">
        <f t="shared" si="4"/>
        <v>3.2424000000000004</v>
      </c>
      <c r="V72" s="1891">
        <f t="shared" si="4"/>
        <v>0.88127999999999995</v>
      </c>
      <c r="W72" s="1889">
        <f t="shared" si="4"/>
        <v>376.88085857039658</v>
      </c>
      <c r="X72" s="1890">
        <f t="shared" si="4"/>
        <v>3.3950399999999998</v>
      </c>
      <c r="Y72" s="1891">
        <f t="shared" si="4"/>
        <v>0.88800000000000001</v>
      </c>
      <c r="Z72" s="1889">
        <f t="shared" si="4"/>
        <v>415.25023147871758</v>
      </c>
      <c r="AA72" s="1890">
        <f t="shared" si="4"/>
        <v>3.7419600000000002</v>
      </c>
      <c r="AB72" s="1891">
        <f t="shared" si="4"/>
        <v>0.89699999999999991</v>
      </c>
      <c r="AC72" s="1889">
        <f t="shared" si="4"/>
        <v>457.44909804117111</v>
      </c>
      <c r="AD72" s="1890">
        <f t="shared" si="4"/>
        <v>4.2007199999999996</v>
      </c>
      <c r="AE72" s="1891">
        <f t="shared" si="4"/>
        <v>0.94212000000000007</v>
      </c>
      <c r="AF72" s="1889">
        <f t="shared" si="4"/>
        <v>491.46913711829671</v>
      </c>
      <c r="AG72" s="1890">
        <f t="shared" si="4"/>
        <v>4.5824400000000001</v>
      </c>
      <c r="AH72" s="1891">
        <f t="shared" si="4"/>
        <v>1.0218</v>
      </c>
      <c r="AI72" s="1889">
        <f t="shared" si="4"/>
        <v>522.60532155461374</v>
      </c>
      <c r="AJ72" s="1890">
        <f t="shared" si="4"/>
        <v>4.8153600000000001</v>
      </c>
      <c r="AK72" s="1891">
        <f t="shared" si="4"/>
        <v>1.0682400000000001</v>
      </c>
      <c r="AL72" s="1889">
        <f t="shared" si="4"/>
        <v>527.29774580024889</v>
      </c>
      <c r="AM72" s="1890">
        <f t="shared" si="4"/>
        <v>4.9191600000000006</v>
      </c>
      <c r="AN72" s="1891">
        <f t="shared" si="4"/>
        <v>1.0914000000000001</v>
      </c>
      <c r="AO72" s="1889">
        <f t="shared" si="4"/>
        <v>531.66390845337753</v>
      </c>
      <c r="AP72" s="1890">
        <f t="shared" si="4"/>
        <v>4.9421999999999997</v>
      </c>
      <c r="AQ72" s="1891">
        <f t="shared" si="4"/>
        <v>1.0563599999999997</v>
      </c>
      <c r="AR72" s="284"/>
      <c r="AS72" s="393"/>
      <c r="AT72" s="480"/>
      <c r="AU72" s="480"/>
      <c r="AV72" s="643"/>
    </row>
    <row r="73" spans="1:48" s="616" customFormat="1" ht="18" customHeight="1" thickBot="1" x14ac:dyDescent="0.3">
      <c r="A73" s="2540" t="s">
        <v>430</v>
      </c>
      <c r="B73" s="2541"/>
      <c r="C73" s="2541"/>
      <c r="D73" s="2541"/>
      <c r="E73" s="2541"/>
      <c r="F73" s="2541"/>
      <c r="G73" s="2542"/>
      <c r="H73" s="1893">
        <f>H69+H68+H67+H66+H71+H62+H63+H64+H65</f>
        <v>514.73579878932901</v>
      </c>
      <c r="I73" s="1894">
        <f t="shared" ref="I73:AQ73" si="5">I69+I68+I67+I66+I71+I62+I63+I64+I65</f>
        <v>4.4653799999999997</v>
      </c>
      <c r="J73" s="1895">
        <f t="shared" si="5"/>
        <v>1.0433399999999999</v>
      </c>
      <c r="K73" s="1893">
        <f t="shared" si="5"/>
        <v>497.75908310660998</v>
      </c>
      <c r="L73" s="1894">
        <f t="shared" si="5"/>
        <v>4.3304399999999994</v>
      </c>
      <c r="M73" s="1895">
        <f t="shared" si="5"/>
        <v>1.0310999999999999</v>
      </c>
      <c r="N73" s="1893">
        <f t="shared" si="5"/>
        <v>482.68443961251916</v>
      </c>
      <c r="O73" s="1894">
        <f t="shared" si="5"/>
        <v>4.2208199999999998</v>
      </c>
      <c r="P73" s="1895">
        <f t="shared" si="5"/>
        <v>1.0227600000000001</v>
      </c>
      <c r="Q73" s="1893">
        <f t="shared" si="5"/>
        <v>483.81461391756056</v>
      </c>
      <c r="R73" s="1894">
        <f t="shared" si="5"/>
        <v>4.1444999999999999</v>
      </c>
      <c r="S73" s="1895">
        <f t="shared" si="5"/>
        <v>0.98916000000000004</v>
      </c>
      <c r="T73" s="1893">
        <f t="shared" si="5"/>
        <v>493.6056155240218</v>
      </c>
      <c r="U73" s="1894">
        <f t="shared" si="5"/>
        <v>4.2001200000000001</v>
      </c>
      <c r="V73" s="1895">
        <f t="shared" si="5"/>
        <v>0.99978000000000011</v>
      </c>
      <c r="W73" s="1893">
        <f t="shared" si="5"/>
        <v>514.94151652273001</v>
      </c>
      <c r="X73" s="1894">
        <f t="shared" si="5"/>
        <v>4.4569800000000006</v>
      </c>
      <c r="Y73" s="1895">
        <f t="shared" si="5"/>
        <v>1.0263000000000002</v>
      </c>
      <c r="Z73" s="1893">
        <f t="shared" si="5"/>
        <v>581.72771675330671</v>
      </c>
      <c r="AA73" s="1894">
        <f t="shared" si="5"/>
        <v>5.0784599999999998</v>
      </c>
      <c r="AB73" s="1895">
        <f t="shared" si="5"/>
        <v>1.0504200000000001</v>
      </c>
      <c r="AC73" s="1893">
        <f t="shared" si="5"/>
        <v>627.43213721616689</v>
      </c>
      <c r="AD73" s="1894">
        <f t="shared" si="5"/>
        <v>5.5845000000000002</v>
      </c>
      <c r="AE73" s="1895">
        <f t="shared" si="5"/>
        <v>1.09626</v>
      </c>
      <c r="AF73" s="1893">
        <f t="shared" si="5"/>
        <v>662.83445534399709</v>
      </c>
      <c r="AG73" s="1894">
        <f t="shared" si="5"/>
        <v>5.9933400000000008</v>
      </c>
      <c r="AH73" s="1895">
        <f t="shared" si="5"/>
        <v>1.1353200000000001</v>
      </c>
      <c r="AI73" s="1893">
        <f t="shared" si="5"/>
        <v>724.54916081880856</v>
      </c>
      <c r="AJ73" s="1894">
        <f t="shared" si="5"/>
        <v>6.1806599999999996</v>
      </c>
      <c r="AK73" s="1895">
        <f t="shared" si="5"/>
        <v>1.18218</v>
      </c>
      <c r="AL73" s="1893">
        <f t="shared" si="5"/>
        <v>738.93428042164658</v>
      </c>
      <c r="AM73" s="1894">
        <f t="shared" si="5"/>
        <v>6.1565999999999983</v>
      </c>
      <c r="AN73" s="1895">
        <f t="shared" si="5"/>
        <v>1.1316599999999999</v>
      </c>
      <c r="AO73" s="1893">
        <f t="shared" si="5"/>
        <v>736.41731991042218</v>
      </c>
      <c r="AP73" s="1894">
        <f t="shared" si="5"/>
        <v>6.3152999999999997</v>
      </c>
      <c r="AQ73" s="1895">
        <f t="shared" si="5"/>
        <v>1.1648400000000001</v>
      </c>
      <c r="AR73" s="284"/>
      <c r="AS73" s="393"/>
      <c r="AT73" s="480"/>
      <c r="AU73" s="480"/>
      <c r="AV73" s="643"/>
    </row>
    <row r="74" spans="1:48" s="230" customFormat="1" ht="16.5" customHeight="1" thickBot="1" x14ac:dyDescent="0.3">
      <c r="A74" s="2462" t="s">
        <v>431</v>
      </c>
      <c r="B74" s="2463"/>
      <c r="C74" s="2463"/>
      <c r="D74" s="2463"/>
      <c r="E74" s="2463"/>
      <c r="F74" s="2463"/>
      <c r="G74" s="2463"/>
      <c r="H74" s="1896">
        <f>H72+H73</f>
        <v>895.21556681911375</v>
      </c>
      <c r="I74" s="1897">
        <f>I72+I73</f>
        <v>7.84938</v>
      </c>
      <c r="J74" s="1898">
        <f>J72+J73</f>
        <v>1.9025399999999999</v>
      </c>
      <c r="K74" s="1896">
        <f t="shared" ref="K74:AQ74" si="6">K72+K73</f>
        <v>865.52906746109431</v>
      </c>
      <c r="L74" s="1897">
        <f t="shared" si="6"/>
        <v>7.6131599999999988</v>
      </c>
      <c r="M74" s="1898">
        <f t="shared" si="6"/>
        <v>1.8876599999999999</v>
      </c>
      <c r="N74" s="1896">
        <f t="shared" si="6"/>
        <v>841.79451553511058</v>
      </c>
      <c r="O74" s="1897">
        <f t="shared" si="6"/>
        <v>7.4465399999999997</v>
      </c>
      <c r="P74" s="1898">
        <f t="shared" si="6"/>
        <v>1.8890400000000001</v>
      </c>
      <c r="Q74" s="1896">
        <f t="shared" si="6"/>
        <v>846.8725951184872</v>
      </c>
      <c r="R74" s="1897">
        <f t="shared" si="6"/>
        <v>7.3510200000000001</v>
      </c>
      <c r="S74" s="1898">
        <f t="shared" si="6"/>
        <v>1.85964</v>
      </c>
      <c r="T74" s="1896">
        <f t="shared" si="6"/>
        <v>857.59157152026364</v>
      </c>
      <c r="U74" s="1897">
        <f t="shared" si="6"/>
        <v>7.44252</v>
      </c>
      <c r="V74" s="1898">
        <f t="shared" si="6"/>
        <v>1.8810600000000002</v>
      </c>
      <c r="W74" s="1896">
        <f t="shared" si="6"/>
        <v>891.82237509312654</v>
      </c>
      <c r="X74" s="1897">
        <f t="shared" si="6"/>
        <v>7.8520200000000004</v>
      </c>
      <c r="Y74" s="1898">
        <f t="shared" si="6"/>
        <v>1.9143000000000003</v>
      </c>
      <c r="Z74" s="1896">
        <f t="shared" si="6"/>
        <v>996.97794823202435</v>
      </c>
      <c r="AA74" s="1897">
        <f t="shared" si="6"/>
        <v>8.8204200000000004</v>
      </c>
      <c r="AB74" s="1898">
        <f t="shared" si="6"/>
        <v>1.9474200000000002</v>
      </c>
      <c r="AC74" s="1896">
        <f t="shared" si="6"/>
        <v>1084.8812352573379</v>
      </c>
      <c r="AD74" s="1897">
        <f t="shared" si="6"/>
        <v>9.7852199999999989</v>
      </c>
      <c r="AE74" s="1898">
        <f t="shared" si="6"/>
        <v>2.0383800000000001</v>
      </c>
      <c r="AF74" s="1896">
        <f t="shared" si="6"/>
        <v>1154.3035924622939</v>
      </c>
      <c r="AG74" s="1897">
        <f t="shared" si="6"/>
        <v>10.575780000000002</v>
      </c>
      <c r="AH74" s="1898">
        <f t="shared" si="6"/>
        <v>2.1571199999999999</v>
      </c>
      <c r="AI74" s="1896">
        <f t="shared" si="6"/>
        <v>1247.1544823734223</v>
      </c>
      <c r="AJ74" s="1897">
        <f t="shared" si="6"/>
        <v>10.99602</v>
      </c>
      <c r="AK74" s="1898">
        <f t="shared" si="6"/>
        <v>2.2504200000000001</v>
      </c>
      <c r="AL74" s="1896">
        <f t="shared" si="6"/>
        <v>1266.2320262218955</v>
      </c>
      <c r="AM74" s="1897">
        <f t="shared" si="6"/>
        <v>11.075759999999999</v>
      </c>
      <c r="AN74" s="1898">
        <f t="shared" si="6"/>
        <v>2.2230600000000003</v>
      </c>
      <c r="AO74" s="1896">
        <f t="shared" si="6"/>
        <v>1268.0812283637997</v>
      </c>
      <c r="AP74" s="1897">
        <f t="shared" si="6"/>
        <v>11.2575</v>
      </c>
      <c r="AQ74" s="1898">
        <f t="shared" si="6"/>
        <v>2.2211999999999996</v>
      </c>
      <c r="AR74" s="284"/>
      <c r="AS74" s="393"/>
      <c r="AT74" s="393"/>
      <c r="AU74" s="393"/>
      <c r="AV74" s="231"/>
    </row>
    <row r="75" spans="1:48" s="230" customFormat="1" ht="26.25" customHeight="1" x14ac:dyDescent="0.25">
      <c r="A75" s="1932"/>
      <c r="B75" s="1845"/>
      <c r="C75" s="1845"/>
      <c r="D75" s="1845"/>
      <c r="E75" s="1845"/>
      <c r="F75" s="1845"/>
      <c r="G75" s="1845"/>
      <c r="H75" s="1933"/>
      <c r="I75" s="1934"/>
      <c r="J75" s="1934"/>
      <c r="K75" s="1933"/>
      <c r="L75" s="1934"/>
      <c r="M75" s="1934"/>
      <c r="N75" s="1933"/>
      <c r="O75" s="1934"/>
      <c r="P75" s="1934"/>
      <c r="Q75" s="1933"/>
      <c r="R75" s="1934"/>
      <c r="S75" s="1934"/>
      <c r="T75" s="1933"/>
      <c r="U75" s="1934"/>
      <c r="V75" s="1934"/>
      <c r="W75" s="1933"/>
      <c r="X75" s="1934"/>
      <c r="Y75" s="1934"/>
      <c r="Z75" s="1933"/>
      <c r="AA75" s="1934"/>
      <c r="AB75" s="1934"/>
      <c r="AC75" s="1933"/>
      <c r="AD75" s="1934"/>
      <c r="AE75" s="1934"/>
      <c r="AF75" s="1933"/>
      <c r="AG75" s="1934"/>
      <c r="AH75" s="1934"/>
      <c r="AI75" s="1933"/>
      <c r="AJ75" s="1934"/>
      <c r="AK75" s="1934"/>
      <c r="AL75" s="1933"/>
      <c r="AM75" s="1934"/>
      <c r="AN75" s="1934"/>
      <c r="AO75" s="1933"/>
      <c r="AP75" s="1934"/>
      <c r="AQ75" s="1934"/>
      <c r="AR75" s="388"/>
      <c r="AS75" s="474"/>
      <c r="AT75" s="231"/>
      <c r="AU75" s="231"/>
      <c r="AV75" s="231"/>
    </row>
    <row r="76" spans="1:48" s="230" customFormat="1" ht="27.75" customHeight="1" thickBot="1" x14ac:dyDescent="0.3">
      <c r="A76" s="1935" t="s">
        <v>19</v>
      </c>
      <c r="B76" s="1801"/>
      <c r="C76" s="1801"/>
      <c r="D76" s="1801"/>
      <c r="E76" s="1801"/>
      <c r="F76" s="1801"/>
      <c r="G76" s="1801"/>
      <c r="H76" s="1936"/>
      <c r="I76" s="1937"/>
      <c r="J76" s="1860"/>
      <c r="K76" s="1938"/>
      <c r="L76" s="1938"/>
      <c r="M76" s="1938"/>
      <c r="N76" s="1938"/>
      <c r="O76" s="1938"/>
      <c r="P76" s="1938"/>
      <c r="Q76" s="1938"/>
      <c r="R76" s="1938"/>
      <c r="S76" s="1938"/>
      <c r="T76" s="1938"/>
      <c r="U76" s="1938"/>
      <c r="V76" s="1938"/>
      <c r="W76" s="1938"/>
      <c r="X76" s="1938"/>
      <c r="Y76" s="1938"/>
      <c r="Z76" s="1938"/>
      <c r="AA76" s="1938"/>
      <c r="AB76" s="1938"/>
      <c r="AC76" s="1938"/>
      <c r="AD76" s="1938"/>
      <c r="AE76" s="1938"/>
      <c r="AF76" s="1938"/>
      <c r="AG76" s="1938"/>
      <c r="AH76" s="1938"/>
      <c r="AI76" s="1938"/>
      <c r="AJ76" s="1938"/>
      <c r="AK76" s="1938"/>
      <c r="AL76" s="1938"/>
      <c r="AM76" s="1938"/>
      <c r="AN76" s="1938"/>
      <c r="AO76" s="1938"/>
      <c r="AP76" s="1938"/>
      <c r="AQ76" s="1938"/>
      <c r="AS76" s="231"/>
      <c r="AT76" s="231"/>
      <c r="AU76" s="231"/>
      <c r="AV76" s="231"/>
    </row>
    <row r="77" spans="1:48" s="230" customFormat="1" ht="16.5" customHeight="1" x14ac:dyDescent="0.25">
      <c r="A77" s="2441" t="s">
        <v>0</v>
      </c>
      <c r="B77" s="1939" t="s">
        <v>22</v>
      </c>
      <c r="C77" s="1940"/>
      <c r="D77" s="1940" t="s">
        <v>45</v>
      </c>
      <c r="E77" s="1940"/>
      <c r="F77" s="1940"/>
      <c r="G77" s="1941"/>
      <c r="H77" s="1942">
        <f>$C$79/1000</f>
        <v>3.1800000000000002E-2</v>
      </c>
      <c r="I77" s="1943" t="s">
        <v>2</v>
      </c>
      <c r="J77" s="1944">
        <f>$G$79/1000</f>
        <v>4.0799999999999996E-2</v>
      </c>
      <c r="K77" s="1942">
        <f>$C$79/1000</f>
        <v>3.1800000000000002E-2</v>
      </c>
      <c r="L77" s="1943" t="s">
        <v>2</v>
      </c>
      <c r="M77" s="1944">
        <f>$G$79/1000</f>
        <v>4.0799999999999996E-2</v>
      </c>
      <c r="N77" s="1942">
        <f>$C$79/1000</f>
        <v>3.1800000000000002E-2</v>
      </c>
      <c r="O77" s="1943" t="s">
        <v>2</v>
      </c>
      <c r="P77" s="1944">
        <f>$G$79/1000</f>
        <v>4.0799999999999996E-2</v>
      </c>
      <c r="Q77" s="1942">
        <f>$C$79/1000</f>
        <v>3.1800000000000002E-2</v>
      </c>
      <c r="R77" s="1943" t="s">
        <v>2</v>
      </c>
      <c r="S77" s="1944">
        <f>$G$79/1000</f>
        <v>4.0799999999999996E-2</v>
      </c>
      <c r="T77" s="1942">
        <f>$C$79/1000</f>
        <v>3.1800000000000002E-2</v>
      </c>
      <c r="U77" s="1943" t="s">
        <v>2</v>
      </c>
      <c r="V77" s="1944">
        <f>$G$79/1000</f>
        <v>4.0799999999999996E-2</v>
      </c>
      <c r="W77" s="1942">
        <f>$C$79/1000</f>
        <v>3.1800000000000002E-2</v>
      </c>
      <c r="X77" s="1943" t="s">
        <v>2</v>
      </c>
      <c r="Y77" s="1944">
        <f>$G$79/1000</f>
        <v>4.0799999999999996E-2</v>
      </c>
      <c r="Z77" s="1942">
        <f>$C$79/1000</f>
        <v>3.1800000000000002E-2</v>
      </c>
      <c r="AA77" s="1943" t="s">
        <v>2</v>
      </c>
      <c r="AB77" s="1944">
        <f>$G$79/1000</f>
        <v>4.0799999999999996E-2</v>
      </c>
      <c r="AC77" s="1942">
        <f>$C$79/1000</f>
        <v>3.1800000000000002E-2</v>
      </c>
      <c r="AD77" s="1943" t="s">
        <v>2</v>
      </c>
      <c r="AE77" s="1944">
        <f>$G$79/1000</f>
        <v>4.0799999999999996E-2</v>
      </c>
      <c r="AF77" s="1942">
        <f>$C$79/1000</f>
        <v>3.1800000000000002E-2</v>
      </c>
      <c r="AG77" s="1943" t="s">
        <v>2</v>
      </c>
      <c r="AH77" s="1944">
        <f>$G$79/1000</f>
        <v>4.0799999999999996E-2</v>
      </c>
      <c r="AI77" s="1942">
        <f>$C$79/1000</f>
        <v>3.1800000000000002E-2</v>
      </c>
      <c r="AJ77" s="1943" t="s">
        <v>2</v>
      </c>
      <c r="AK77" s="1944">
        <f>$G$79/1000</f>
        <v>4.0799999999999996E-2</v>
      </c>
      <c r="AL77" s="1942">
        <f>$C$79/1000</f>
        <v>3.1800000000000002E-2</v>
      </c>
      <c r="AM77" s="1943" t="s">
        <v>2</v>
      </c>
      <c r="AN77" s="1944">
        <f>$G$79/1000</f>
        <v>4.0799999999999996E-2</v>
      </c>
      <c r="AO77" s="1942">
        <f>$C$79/1000</f>
        <v>3.1800000000000002E-2</v>
      </c>
      <c r="AP77" s="1943" t="s">
        <v>2</v>
      </c>
      <c r="AQ77" s="1944">
        <f>$G$79/1000</f>
        <v>4.0799999999999996E-2</v>
      </c>
      <c r="AS77" s="231"/>
      <c r="AT77" s="231"/>
      <c r="AU77" s="231"/>
      <c r="AV77" s="231"/>
    </row>
    <row r="78" spans="1:48" s="230" customFormat="1" ht="16.5" customHeight="1" thickBot="1" x14ac:dyDescent="0.3">
      <c r="A78" s="2442"/>
      <c r="B78" s="1945" t="s">
        <v>23</v>
      </c>
      <c r="C78" s="1946"/>
      <c r="D78" s="1946" t="s">
        <v>24</v>
      </c>
      <c r="E78" s="1946"/>
      <c r="F78" s="1946"/>
      <c r="G78" s="1947"/>
      <c r="H78" s="1948">
        <f>(((I9^2+J9^2)*$C$80/1000)+((I10^2+J10^2)*$G$80/1000)+((I11^2+J11^2)*$J$80/1000))/$C$9^2</f>
        <v>4.4399484358312504E-3</v>
      </c>
      <c r="I78" s="1949" t="s">
        <v>2</v>
      </c>
      <c r="J78" s="1950">
        <f>(((I9^2+J9^2)*$M$80)+((I10^2+J10^2)*$P$80)+((I11^2+J11^2)*S80))/(100*$C$9)</f>
        <v>0.12036004864380002</v>
      </c>
      <c r="K78" s="1948">
        <f>(((L9^2+M9^2)*$C$80/1000)+((L10^2+M10^2)*$G$80/1000)+((L11^2+M11^2)*$J$80/1000))/$C$9^2</f>
        <v>3.9991090822874996E-3</v>
      </c>
      <c r="L78" s="1949" t="s">
        <v>2</v>
      </c>
      <c r="M78" s="1950">
        <f>(((L9^2+M9^2)*$M$80)+((L10^2+M10^2)*$P$80)+((L11^2+M11^2)*V80))/(100*$C$9)</f>
        <v>0.10910226423959998</v>
      </c>
      <c r="N78" s="1948">
        <f>(((O9^2+P9^2)*$C$80/1000)+((O10^2+P10^2)*$G$80/1000)+((O11^2+P11^2)*$J$80/1000))/$C$9^2</f>
        <v>3.7885999547249993E-3</v>
      </c>
      <c r="O78" s="1949" t="s">
        <v>2</v>
      </c>
      <c r="P78" s="1950">
        <f>(((O9^2+P9^2)*$M$80)+((O10^2+P10^2)*$P$80)+((O11^2+P11^2)*Y80))/(100*$C$9)</f>
        <v>0.10301469284159998</v>
      </c>
      <c r="Q78" s="1948">
        <f>(((R9^2+S9^2)*$C$80/1000)+((R10^2+S10^2)*$G$80/1000)+((R11^2+S11^2)*$J$80/1000))/$C$9^2</f>
        <v>3.6921405624750002E-3</v>
      </c>
      <c r="R78" s="1949" t="s">
        <v>2</v>
      </c>
      <c r="S78" s="1950">
        <f>(((R9^2+S9^2)*$M$80)+((R10^2+S10^2)*$P$80)+((R11^2+S11^2)*AB80))/(100*$C$9)</f>
        <v>0.10021159083959999</v>
      </c>
      <c r="T78" s="1948">
        <f>(((U9^2+V9^2)*$C$80/1000)+((U10^2+V10^2)*$G$80/1000)+((U11^2+V11^2)*$J$80/1000))/$C$9^2</f>
        <v>3.7790812056937499E-3</v>
      </c>
      <c r="U78" s="1949" t="s">
        <v>2</v>
      </c>
      <c r="V78" s="1950">
        <f>(((U9^2+V9^2)*$M$80)+((U10^2+V10^2)*$P$80)+((U11^2+V11^2)*AE80))/(100*$C$9)</f>
        <v>0.1025561069046</v>
      </c>
      <c r="W78" s="1948">
        <f>(((X9^2+Y9^2)*$C$80/1000)+((X10^2+Y10^2)*$G$80/1000)+((X11^2+Y11^2)*$J$80/1000))/$C$9^2</f>
        <v>4.2802127834062498E-3</v>
      </c>
      <c r="X78" s="1949" t="s">
        <v>2</v>
      </c>
      <c r="Y78" s="1950">
        <f>(((X9^2+Y9^2)*$M$80)+((X10^2+Y10^2)*$P$80)+((X11^2+Y11^2)*AH80))/(100*$C$9)</f>
        <v>0.11676192631199998</v>
      </c>
      <c r="Z78" s="1948">
        <f>(((AA9^2+AB9^2)*$C$80/1000)+((AA10^2+AB10^2)*$G$80/1000)+((AA11^2+AB11^2)*$J$80/1000))/$C$9^2</f>
        <v>5.6270779391250003E-3</v>
      </c>
      <c r="AA78" s="1949" t="s">
        <v>2</v>
      </c>
      <c r="AB78" s="1950">
        <f>(((AA9^2+AB9^2)*$M$80)+((AA10^2+AB10^2)*$P$80)+((AA11^2+AB11^2)*AK80))/(100*$C$9)</f>
        <v>0.15532114646700002</v>
      </c>
      <c r="AC78" s="1948">
        <f>(((AD9^2+AE9^2)*$C$80/1000)+((AD10^2+AE10^2)*$G$80/1000)+((AD11^2+AE11^2)*$J$80/1000))/$C$9^2</f>
        <v>7.1073277228687493E-3</v>
      </c>
      <c r="AD78" s="1949" t="s">
        <v>2</v>
      </c>
      <c r="AE78" s="1950">
        <f>(((AD9^2+AE9^2)*$M$80)+((AD10^2+AE10^2)*$P$80)+((AD11^2+AE11^2)*AN80))/(100*$C$9)</f>
        <v>0.1963446409854</v>
      </c>
      <c r="AF78" s="1948">
        <f>(((AG9^2+AH9^2)*$C$80/1000)+((AG10^2+AH10^2)*$G$80/1000)+((AG11^2+AH11^2)*$J$80/1000))/$C$9^2</f>
        <v>8.3598131239875015E-3</v>
      </c>
      <c r="AG78" s="1949" t="s">
        <v>2</v>
      </c>
      <c r="AH78" s="1950">
        <f>(((AG9^2+AH9^2)*$M$80)+((AG10^2+AH10^2)*$P$80)+((AG11^2+AH11^2)*AQ80))/(100*$C$9)</f>
        <v>0.23063933741580001</v>
      </c>
      <c r="AI78" s="1948">
        <f>(((AJ9^2+AK9^2)*$C$80/1000)+((AJ10^2+AK10^2)*$G$80/1000)+((AJ11^2+AK11^2)*$J$80/1000))/$C$9^2</f>
        <v>9.5351109247687471E-3</v>
      </c>
      <c r="AJ78" s="1949" t="s">
        <v>2</v>
      </c>
      <c r="AK78" s="1950">
        <f>(((AJ9^2+AK9^2)*$M$80)+((AJ10^2+AK10^2)*$P$80)+((AJ11^2+AK11^2)*AT80))/(100*$C$9)</f>
        <v>0.26416456918379994</v>
      </c>
      <c r="AL78" s="1948">
        <f>(((AM9^2+AN9^2)*$C$80/1000)+((AM10^2+AN10^2)*$G$80/1000)+((AM11^2+AN11^2)*$J$80/1000))/$C$9^2</f>
        <v>1.0232190265049998E-2</v>
      </c>
      <c r="AM78" s="1949" t="s">
        <v>2</v>
      </c>
      <c r="AN78" s="1950">
        <f>(((AM9^2+AN9^2)*$M$80)+((AM10^2+AN10^2)*$P$80)+((AM11^2+AN11^2)*AW80))/(100*$C$9)</f>
        <v>0.28440399790080001</v>
      </c>
      <c r="AO78" s="1948">
        <f>(((AP9^2+AQ9^2)*$C$80/1000)+((AP10^2+AQ10^2)*$G$80/1000)+((AP11^2+AQ11^2)*$J$80/1000))/$C$9^2</f>
        <v>1.0754082648224998E-2</v>
      </c>
      <c r="AP78" s="1949" t="s">
        <v>2</v>
      </c>
      <c r="AQ78" s="1950">
        <f>(((AP9^2+AQ9^2)*$M$80)+((AP10^2+AQ10^2)*$P$80)+((AP11^2+AQ11^2)*AZ80))/(100*$C$9)</f>
        <v>0.30040717857659993</v>
      </c>
      <c r="AS78" s="231"/>
      <c r="AT78" s="231"/>
      <c r="AU78" s="231"/>
      <c r="AV78" s="231"/>
    </row>
    <row r="79" spans="1:48" s="230" customFormat="1" ht="16.5" customHeight="1" x14ac:dyDescent="0.25">
      <c r="A79" s="2442"/>
      <c r="B79" s="1951" t="s">
        <v>105</v>
      </c>
      <c r="C79" s="1952">
        <v>31.8</v>
      </c>
      <c r="D79" s="1953"/>
      <c r="E79" s="2444" t="s">
        <v>106</v>
      </c>
      <c r="F79" s="2444"/>
      <c r="G79" s="1954">
        <v>40.799999999999997</v>
      </c>
      <c r="H79" s="1955"/>
      <c r="I79" s="1956"/>
      <c r="J79" s="1957"/>
      <c r="K79" s="1958"/>
      <c r="L79" s="1959"/>
      <c r="M79" s="1960"/>
      <c r="N79" s="1958"/>
      <c r="O79" s="1959"/>
      <c r="P79" s="1960"/>
      <c r="Q79" s="1958"/>
      <c r="R79" s="1959"/>
      <c r="S79" s="1960"/>
      <c r="T79" s="2448"/>
      <c r="U79" s="2449"/>
      <c r="V79" s="2450"/>
      <c r="W79" s="2448"/>
      <c r="X79" s="2449"/>
      <c r="Y79" s="2450"/>
      <c r="Z79" s="2448"/>
      <c r="AA79" s="2449"/>
      <c r="AB79" s="2450"/>
      <c r="AC79" s="2448"/>
      <c r="AD79" s="2449"/>
      <c r="AE79" s="2450"/>
      <c r="AF79" s="2448"/>
      <c r="AG79" s="2449"/>
      <c r="AH79" s="2450"/>
      <c r="AI79" s="2448"/>
      <c r="AJ79" s="2449"/>
      <c r="AK79" s="2450"/>
      <c r="AL79" s="2448"/>
      <c r="AM79" s="2449"/>
      <c r="AN79" s="2450"/>
      <c r="AO79" s="2448"/>
      <c r="AP79" s="2449"/>
      <c r="AQ79" s="2450"/>
      <c r="AS79" s="231"/>
      <c r="AT79" s="231"/>
      <c r="AU79" s="231"/>
      <c r="AV79" s="231"/>
    </row>
    <row r="80" spans="1:48" s="230" customFormat="1" ht="16.5" customHeight="1" thickBot="1" x14ac:dyDescent="0.3">
      <c r="A80" s="2442"/>
      <c r="B80" s="1961" t="s">
        <v>59</v>
      </c>
      <c r="C80" s="1854">
        <v>144.5</v>
      </c>
      <c r="D80" s="1962"/>
      <c r="E80" s="1963"/>
      <c r="F80" s="1963" t="s">
        <v>57</v>
      </c>
      <c r="G80" s="1964">
        <v>80.25</v>
      </c>
      <c r="H80" s="2439" t="s">
        <v>52</v>
      </c>
      <c r="I80" s="2440"/>
      <c r="J80" s="1965">
        <v>57.6</v>
      </c>
      <c r="K80" s="2439" t="s">
        <v>53</v>
      </c>
      <c r="L80" s="2440"/>
      <c r="M80" s="1965">
        <v>10.78</v>
      </c>
      <c r="N80" s="2439" t="s">
        <v>56</v>
      </c>
      <c r="O80" s="2440"/>
      <c r="P80" s="1965">
        <v>7.2</v>
      </c>
      <c r="Q80" s="2439" t="s">
        <v>55</v>
      </c>
      <c r="R80" s="2440"/>
      <c r="S80" s="1965">
        <v>-0.5</v>
      </c>
      <c r="T80" s="2451"/>
      <c r="U80" s="2452"/>
      <c r="V80" s="2453"/>
      <c r="W80" s="2451"/>
      <c r="X80" s="2452"/>
      <c r="Y80" s="2453"/>
      <c r="Z80" s="2451"/>
      <c r="AA80" s="2452"/>
      <c r="AB80" s="2453"/>
      <c r="AC80" s="2451"/>
      <c r="AD80" s="2452"/>
      <c r="AE80" s="2453"/>
      <c r="AF80" s="2451"/>
      <c r="AG80" s="2452"/>
      <c r="AH80" s="2453"/>
      <c r="AI80" s="2451"/>
      <c r="AJ80" s="2452"/>
      <c r="AK80" s="2453"/>
      <c r="AL80" s="2451"/>
      <c r="AM80" s="2452"/>
      <c r="AN80" s="2453"/>
      <c r="AO80" s="2451"/>
      <c r="AP80" s="2452"/>
      <c r="AQ80" s="2453"/>
      <c r="AS80" s="231"/>
      <c r="AT80" s="231"/>
      <c r="AU80" s="231"/>
      <c r="AV80" s="231"/>
    </row>
    <row r="81" spans="1:48" s="230" customFormat="1" ht="16.5" customHeight="1" thickBot="1" x14ac:dyDescent="0.3">
      <c r="A81" s="2443"/>
      <c r="B81" s="2445" t="s">
        <v>29</v>
      </c>
      <c r="C81" s="2446"/>
      <c r="D81" s="2446"/>
      <c r="E81" s="2446"/>
      <c r="F81" s="2446"/>
      <c r="G81" s="2447"/>
      <c r="H81" s="1966">
        <f>I10+I11+H78+H77</f>
        <v>6.2282399484358306</v>
      </c>
      <c r="I81" s="1967" t="s">
        <v>2</v>
      </c>
      <c r="J81" s="1968">
        <f>J10+J11+J78+J77</f>
        <v>1.2171600486438001</v>
      </c>
      <c r="K81" s="1966">
        <f>L10+L11+K78+K77</f>
        <v>5.9097991090822877</v>
      </c>
      <c r="L81" s="1967" t="s">
        <v>2</v>
      </c>
      <c r="M81" s="1968">
        <f>M10+M11+M78+M77</f>
        <v>1.2059022642396</v>
      </c>
      <c r="N81" s="1966">
        <f>O10+O11+N78+N77</f>
        <v>5.7505885999547246</v>
      </c>
      <c r="O81" s="1967" t="s">
        <v>2</v>
      </c>
      <c r="P81" s="1968">
        <f>P10+P11+P78+P77</f>
        <v>1.2148146928415999</v>
      </c>
      <c r="Q81" s="1966">
        <f>R10+R11+Q78+Q77</f>
        <v>5.6664921405624744</v>
      </c>
      <c r="R81" s="1967" t="s">
        <v>2</v>
      </c>
      <c r="S81" s="1968">
        <f>S10+S11+S78+S77</f>
        <v>1.2060115908395999</v>
      </c>
      <c r="T81" s="1966">
        <f>U10+U11+T78+T77</f>
        <v>5.7385790812056934</v>
      </c>
      <c r="U81" s="1967" t="s">
        <v>2</v>
      </c>
      <c r="V81" s="1968">
        <f>V10+V11+V78+V77</f>
        <v>1.2113561069045999</v>
      </c>
      <c r="W81" s="1966">
        <f>X10+X11+W78+W77</f>
        <v>6.1140802127834055</v>
      </c>
      <c r="X81" s="1967" t="s">
        <v>2</v>
      </c>
      <c r="Y81" s="1968">
        <f>Y10+Y11+Y78+Y77</f>
        <v>1.2345619263119998</v>
      </c>
      <c r="Z81" s="1966">
        <f>AA10+AA11+Z78+Z77</f>
        <v>7.0304270779391249</v>
      </c>
      <c r="AA81" s="1967" t="s">
        <v>2</v>
      </c>
      <c r="AB81" s="1968">
        <f>AB10+AB11+AB78+AB77</f>
        <v>1.285121146467</v>
      </c>
      <c r="AC81" s="1966">
        <f>AD10+AD11+AC78+AC77</f>
        <v>7.8959073277228686</v>
      </c>
      <c r="AD81" s="1967" t="s">
        <v>2</v>
      </c>
      <c r="AE81" s="1968">
        <f>AE10+AE11+AE78+AE77</f>
        <v>1.4221446409853999</v>
      </c>
      <c r="AF81" s="1966">
        <f>AG10+AG11+AF78+AF77</f>
        <v>8.5661598131239884</v>
      </c>
      <c r="AG81" s="1967" t="s">
        <v>2</v>
      </c>
      <c r="AH81" s="1968">
        <f>AH10+AH11+AH78+AH77</f>
        <v>1.5344393374157999</v>
      </c>
      <c r="AI81" s="1966">
        <f>AJ10+AJ11+AI78+AI77</f>
        <v>9.1493351109247705</v>
      </c>
      <c r="AJ81" s="1967" t="s">
        <v>2</v>
      </c>
      <c r="AK81" s="1968">
        <f>AK10+AK11+AK78+AK77</f>
        <v>1.6309645691838</v>
      </c>
      <c r="AL81" s="1966">
        <f>AM10+AM11+AL78+AL77</f>
        <v>9.4740321902650493</v>
      </c>
      <c r="AM81" s="1967" t="s">
        <v>2</v>
      </c>
      <c r="AN81" s="1968">
        <f>AN10+AN11+AN78+AN77</f>
        <v>1.6932039979008</v>
      </c>
      <c r="AO81" s="1966">
        <f>AP10+AP11+AO78+AO77</f>
        <v>9.7115540826482256</v>
      </c>
      <c r="AP81" s="1967" t="s">
        <v>2</v>
      </c>
      <c r="AQ81" s="1968">
        <f>AQ10+AQ11+AQ78+AQ77</f>
        <v>1.7002071785766</v>
      </c>
      <c r="AS81" s="231"/>
      <c r="AT81" s="231"/>
      <c r="AU81" s="231"/>
      <c r="AV81" s="231"/>
    </row>
    <row r="82" spans="1:48" s="230" customFormat="1" ht="16.5" customHeight="1" x14ac:dyDescent="0.25">
      <c r="A82" s="2441" t="s">
        <v>1</v>
      </c>
      <c r="B82" s="1939" t="s">
        <v>22</v>
      </c>
      <c r="C82" s="1940"/>
      <c r="D82" s="1940" t="s">
        <v>45</v>
      </c>
      <c r="E82" s="1940"/>
      <c r="F82" s="1940"/>
      <c r="G82" s="1940"/>
      <c r="H82" s="1942">
        <f>$C$84/1000</f>
        <v>3.2500000000000001E-2</v>
      </c>
      <c r="I82" s="1943" t="s">
        <v>2</v>
      </c>
      <c r="J82" s="1944">
        <f>$G$84/1000</f>
        <v>4.6399999999999997E-2</v>
      </c>
      <c r="K82" s="1942">
        <f>$C$84/1000</f>
        <v>3.2500000000000001E-2</v>
      </c>
      <c r="L82" s="1943" t="s">
        <v>2</v>
      </c>
      <c r="M82" s="1944">
        <f>$G$84/1000</f>
        <v>4.6399999999999997E-2</v>
      </c>
      <c r="N82" s="1942">
        <f>$C$84/1000</f>
        <v>3.2500000000000001E-2</v>
      </c>
      <c r="O82" s="1943" t="s">
        <v>2</v>
      </c>
      <c r="P82" s="1944">
        <f>$G$84/1000</f>
        <v>4.6399999999999997E-2</v>
      </c>
      <c r="Q82" s="1942">
        <f>$C$84/1000</f>
        <v>3.2500000000000001E-2</v>
      </c>
      <c r="R82" s="1943" t="s">
        <v>2</v>
      </c>
      <c r="S82" s="1944">
        <f>$G$84/1000</f>
        <v>4.6399999999999997E-2</v>
      </c>
      <c r="T82" s="1942">
        <f>$C$84/1000</f>
        <v>3.2500000000000001E-2</v>
      </c>
      <c r="U82" s="1943" t="s">
        <v>2</v>
      </c>
      <c r="V82" s="1944">
        <f>$G$84/1000</f>
        <v>4.6399999999999997E-2</v>
      </c>
      <c r="W82" s="1942">
        <f>$C$84/1000</f>
        <v>3.2500000000000001E-2</v>
      </c>
      <c r="X82" s="1943" t="s">
        <v>2</v>
      </c>
      <c r="Y82" s="1944">
        <f>$G$84/1000</f>
        <v>4.6399999999999997E-2</v>
      </c>
      <c r="Z82" s="1942">
        <f>$C$84/1000</f>
        <v>3.2500000000000001E-2</v>
      </c>
      <c r="AA82" s="1943" t="s">
        <v>2</v>
      </c>
      <c r="AB82" s="1944">
        <f>$G$84/1000</f>
        <v>4.6399999999999997E-2</v>
      </c>
      <c r="AC82" s="1942">
        <f>$C$84/1000</f>
        <v>3.2500000000000001E-2</v>
      </c>
      <c r="AD82" s="1943" t="s">
        <v>2</v>
      </c>
      <c r="AE82" s="1944">
        <f>$G$84/1000</f>
        <v>4.6399999999999997E-2</v>
      </c>
      <c r="AF82" s="1969">
        <f>$C$84/1000</f>
        <v>3.2500000000000001E-2</v>
      </c>
      <c r="AG82" s="1970" t="s">
        <v>2</v>
      </c>
      <c r="AH82" s="1971">
        <f>$G$84/1000</f>
        <v>4.6399999999999997E-2</v>
      </c>
      <c r="AI82" s="1942">
        <f>$C$84/1000</f>
        <v>3.2500000000000001E-2</v>
      </c>
      <c r="AJ82" s="1943" t="s">
        <v>2</v>
      </c>
      <c r="AK82" s="1944">
        <f>$G$84/1000</f>
        <v>4.6399999999999997E-2</v>
      </c>
      <c r="AL82" s="1942">
        <f>$C$84/1000</f>
        <v>3.2500000000000001E-2</v>
      </c>
      <c r="AM82" s="1943" t="s">
        <v>2</v>
      </c>
      <c r="AN82" s="1944">
        <f>$G$84/1000</f>
        <v>4.6399999999999997E-2</v>
      </c>
      <c r="AO82" s="1942">
        <f>$C$84/1000</f>
        <v>3.2500000000000001E-2</v>
      </c>
      <c r="AP82" s="1943" t="s">
        <v>2</v>
      </c>
      <c r="AQ82" s="1944">
        <f>$G$84/1000</f>
        <v>4.6399999999999997E-2</v>
      </c>
      <c r="AS82" s="231"/>
      <c r="AT82" s="231"/>
      <c r="AU82" s="231"/>
      <c r="AV82" s="231"/>
    </row>
    <row r="83" spans="1:48" s="230" customFormat="1" ht="16.5" customHeight="1" thickBot="1" x14ac:dyDescent="0.3">
      <c r="A83" s="2442"/>
      <c r="B83" s="1945" t="s">
        <v>23</v>
      </c>
      <c r="C83" s="1946"/>
      <c r="D83" s="1946" t="s">
        <v>24</v>
      </c>
      <c r="E83" s="1946"/>
      <c r="F83" s="1946"/>
      <c r="G83" s="1972"/>
      <c r="H83" s="1948">
        <f>(((I9^2+J9^2)*$C$85/1000)+((I10^2+J10^2)*$G$85/1000)+((I11^2+J11^2)*$J$85/1000))/$C$9^2</f>
        <v>4.5680519569275008E-3</v>
      </c>
      <c r="I83" s="1949" t="s">
        <v>2</v>
      </c>
      <c r="J83" s="1950">
        <f>(((I17^2+J17^2)*$M$85)+((I18^2+J18^2)*$P$85)+((I19^2+J19^2)*S85))/(100*$C$9)</f>
        <v>0.16902665942399997</v>
      </c>
      <c r="K83" s="1948">
        <f>(((L9^2+M9^2)*$C$85/1000)+((L10^2+M10^2)*$G$85/1000)+((L11^2+M11^2)*$J$85/1000))/$C$9^2</f>
        <v>4.1158027360799999E-3</v>
      </c>
      <c r="L83" s="1949" t="s">
        <v>2</v>
      </c>
      <c r="M83" s="1950">
        <f>(((L17^2+M17^2)*$M$85)+((L18^2+M18^2)*$P$85)+((L19^2+M19^2)*V85))/(100*$C$9)</f>
        <v>0.1555716046392</v>
      </c>
      <c r="N83" s="1948">
        <f>(((O9^2+P9^2)*$C$85/1000)+((O10^2+P10^2)*$G$85/1000)+((O11^2+P11^2)*$J$85/1000))/$C$9^2</f>
        <v>3.8997397241549991E-3</v>
      </c>
      <c r="O83" s="1949" t="s">
        <v>2</v>
      </c>
      <c r="P83" s="1950">
        <f>(((O17^2+P17^2)*$M$85)+((O18^2+P18^2)*$P$85)+((O19^2+P19^2)*Y85))/(100*$C$9)</f>
        <v>0.14686986887279999</v>
      </c>
      <c r="Q83" s="1948">
        <f>(((R9^2+S9^2)*$C$85/1000)+((R10^2+S10^2)*$G$85/1000)+((R11^2+S11^2)*$J$85/1000))/$C$9^2</f>
        <v>3.8009769121799997E-3</v>
      </c>
      <c r="R83" s="1949" t="s">
        <v>2</v>
      </c>
      <c r="S83" s="1950">
        <f>(((R17^2+S17^2)*$M$85)+((R18^2+S18^2)*$P$85)+((R19^2+S19^2)*AB85))/(100*$C$9)</f>
        <v>0.142093597608</v>
      </c>
      <c r="T83" s="1948">
        <f>(((U9^2+V9^2)*$C$85/1000)+((U10^2+V10^2)*$G$85/1000)+((U11^2+V11^2)*$J$85/1000))/$C$9^2</f>
        <v>3.8903955914925E-3</v>
      </c>
      <c r="U83" s="1949" t="s">
        <v>2</v>
      </c>
      <c r="V83" s="1950">
        <f>(((U17^2+V17^2)*$M$85)+((U18^2+V18^2)*$P$85)+((U19^2+V19^2)*AE85))/(100*$C$9)</f>
        <v>0.14524618628880001</v>
      </c>
      <c r="W83" s="1948">
        <f>(((X9^2+Y9^2)*$C$85/1000)+((X10^2+Y10^2)*$G$85/1000)+((X11^2+Y11^2)*$J$85/1000))/$C$9^2</f>
        <v>4.4051292641249986E-3</v>
      </c>
      <c r="X83" s="1949" t="s">
        <v>2</v>
      </c>
      <c r="Y83" s="1950">
        <f>(((X17^2+Y17^2)*$M$85)+((X18^2+Y18^2)*$P$85)+((X19^2+Y19^2)*AH85))/(100*$C$9)</f>
        <v>0.16796121457679997</v>
      </c>
      <c r="Z83" s="1948">
        <f>(((AA9^2+AB9^2)*$C$85/1000)+((AA10^2+AB10^2)*$G$85/1000)+((AA11^2+AB11^2)*$J$85/1000))/$C$9^2</f>
        <v>5.7873665840625001E-3</v>
      </c>
      <c r="AA83" s="1949" t="s">
        <v>2</v>
      </c>
      <c r="AB83" s="1950">
        <f>(((AA17^2+AB17^2)*$M$85)+((AA18^2+AB18^2)*$P$85)+((AA19^2+AB19^2)*AK85))/(100*$C$9)</f>
        <v>0.22470121987199995</v>
      </c>
      <c r="AC83" s="1948">
        <f>(((AD9^2+AE9^2)*$C$85/1000)+((AD10^2+AE10^2)*$G$85/1000)+((AD11^2+AE11^2)*$J$85/1000))/$C$9^2</f>
        <v>7.3097778872700005E-3</v>
      </c>
      <c r="AD83" s="1949" t="s">
        <v>2</v>
      </c>
      <c r="AE83" s="1950">
        <f>(((AD17^2+AE17^2)*$M$85)+((AD18^2+AE18^2)*$P$85)+((AD19^2+AE19^2)*AN85))/(100*$C$9)</f>
        <v>0.2703551391504001</v>
      </c>
      <c r="AF83" s="1973">
        <f>(((AG9^2+AH9^2)*$C$85/1000)+((AG10^2+AH10^2)*$G$85/1000)+((AG11^2+AH11^2)*$J$85/1000))/$C$9^2</f>
        <v>8.5985775734400017E-3</v>
      </c>
      <c r="AG83" s="1974" t="s">
        <v>2</v>
      </c>
      <c r="AH83" s="1975">
        <f>(((AG17^2+AH17^2)*$M$85)+((AG18^2+AH18^2)*$P$85)+((AG19^2+AH19^2)*AQ85))/(100*$C$9)</f>
        <v>0.31107998140920007</v>
      </c>
      <c r="AI83" s="1948">
        <f>(((AJ9^2+AK9^2)*$C$85/1000)+((AJ10^2+AK10^2)*$G$85/1000)+((AJ11^2+AK11^2)*$J$85/1000))/$C$9^2</f>
        <v>9.8048979324899966E-3</v>
      </c>
      <c r="AJ83" s="1949" t="s">
        <v>2</v>
      </c>
      <c r="AK83" s="1950">
        <f>(((AJ17^2+AK17^2)*$M$85)+((AJ18^2+AK18^2)*$P$85)+((AJ19^2+AK19^2)*AT85))/(100*$C$9)</f>
        <v>0.34945796270160007</v>
      </c>
      <c r="AL83" s="1948">
        <f>(((AM9^2+AN9^2)*$C$85/1000)+((AM10^2+AN10^2)*$G$85/1000)+((AM11^2+AN11^2)*$J$85/1000))/$C$9^2</f>
        <v>1.051959376134E-2</v>
      </c>
      <c r="AM83" s="1949" t="s">
        <v>2</v>
      </c>
      <c r="AN83" s="1950">
        <f>(((AM17^2+AN17^2)*$M$85)+((AM18^2+AN18^2)*$P$85)+((AM19^2+AN19^2)*AW85))/(100*$C$9)</f>
        <v>0.36082867837679999</v>
      </c>
      <c r="AO83" s="1948">
        <f>(((AP9^2+AQ9^2)*$C$85/1000)+((AP10^2+AQ10^2)*$G$85/1000)+((AP11^2+AQ11^2)*$J$85/1000))/$C$9^2</f>
        <v>1.1052754117492496E-2</v>
      </c>
      <c r="AP83" s="1949" t="s">
        <v>2</v>
      </c>
      <c r="AQ83" s="1950">
        <f>(((AP17^2+AQ17^2)*$M$85)+((AP18^2+AQ18^2)*$P$85)+((AP19^2+AQ19^2)*AZ85))/(100*$C$9)</f>
        <v>0.36883033602839999</v>
      </c>
      <c r="AS83" s="231"/>
      <c r="AT83" s="231"/>
      <c r="AU83" s="231"/>
      <c r="AV83" s="231"/>
    </row>
    <row r="84" spans="1:48" s="230" customFormat="1" ht="16.5" customHeight="1" x14ac:dyDescent="0.25">
      <c r="A84" s="2442"/>
      <c r="B84" s="1951" t="s">
        <v>105</v>
      </c>
      <c r="C84" s="1952">
        <v>32.5</v>
      </c>
      <c r="D84" s="1953"/>
      <c r="E84" s="2444" t="s">
        <v>106</v>
      </c>
      <c r="F84" s="2444"/>
      <c r="G84" s="1954">
        <v>46.4</v>
      </c>
      <c r="H84" s="1955"/>
      <c r="I84" s="1956"/>
      <c r="J84" s="1957"/>
      <c r="K84" s="1958"/>
      <c r="L84" s="1959"/>
      <c r="M84" s="1960"/>
      <c r="N84" s="1958"/>
      <c r="O84" s="1959"/>
      <c r="P84" s="1960"/>
      <c r="Q84" s="1958"/>
      <c r="R84" s="1959"/>
      <c r="S84" s="1960"/>
      <c r="T84" s="2433"/>
      <c r="U84" s="2434"/>
      <c r="V84" s="2435"/>
      <c r="W84" s="2433"/>
      <c r="X84" s="2434"/>
      <c r="Y84" s="2435"/>
      <c r="Z84" s="2433"/>
      <c r="AA84" s="2434"/>
      <c r="AB84" s="2435"/>
      <c r="AC84" s="2433"/>
      <c r="AD84" s="2434"/>
      <c r="AE84" s="2435"/>
      <c r="AF84" s="2433"/>
      <c r="AG84" s="2434"/>
      <c r="AH84" s="2435"/>
      <c r="AI84" s="2433"/>
      <c r="AJ84" s="2434"/>
      <c r="AK84" s="2435"/>
      <c r="AL84" s="2433"/>
      <c r="AM84" s="2434"/>
      <c r="AN84" s="2435"/>
      <c r="AO84" s="2433"/>
      <c r="AP84" s="2434"/>
      <c r="AQ84" s="2435"/>
      <c r="AS84" s="231"/>
      <c r="AT84" s="231"/>
      <c r="AU84" s="231"/>
      <c r="AV84" s="231"/>
    </row>
    <row r="85" spans="1:48" s="230" customFormat="1" ht="16.5" customHeight="1" thickBot="1" x14ac:dyDescent="0.3">
      <c r="A85" s="2442"/>
      <c r="B85" s="1961" t="s">
        <v>59</v>
      </c>
      <c r="C85" s="1854">
        <v>150.1</v>
      </c>
      <c r="D85" s="1962"/>
      <c r="E85" s="1963"/>
      <c r="F85" s="1963" t="s">
        <v>57</v>
      </c>
      <c r="G85" s="1964">
        <v>76.239999999999995</v>
      </c>
      <c r="H85" s="2439" t="s">
        <v>52</v>
      </c>
      <c r="I85" s="2440"/>
      <c r="J85" s="1965">
        <v>58.7</v>
      </c>
      <c r="K85" s="2439" t="s">
        <v>53</v>
      </c>
      <c r="L85" s="2440"/>
      <c r="M85" s="1965">
        <v>10.68</v>
      </c>
      <c r="N85" s="2439" t="s">
        <v>56</v>
      </c>
      <c r="O85" s="2440"/>
      <c r="P85" s="1965">
        <v>7</v>
      </c>
      <c r="Q85" s="2439" t="s">
        <v>55</v>
      </c>
      <c r="R85" s="2440"/>
      <c r="S85" s="1965">
        <v>-0.4</v>
      </c>
      <c r="T85" s="2436"/>
      <c r="U85" s="2437"/>
      <c r="V85" s="2438"/>
      <c r="W85" s="2436"/>
      <c r="X85" s="2437"/>
      <c r="Y85" s="2438"/>
      <c r="Z85" s="2436"/>
      <c r="AA85" s="2437"/>
      <c r="AB85" s="2438"/>
      <c r="AC85" s="2436"/>
      <c r="AD85" s="2437"/>
      <c r="AE85" s="2438"/>
      <c r="AF85" s="2436"/>
      <c r="AG85" s="2437"/>
      <c r="AH85" s="2438"/>
      <c r="AI85" s="2436"/>
      <c r="AJ85" s="2437"/>
      <c r="AK85" s="2438"/>
      <c r="AL85" s="2436"/>
      <c r="AM85" s="2437"/>
      <c r="AN85" s="2438"/>
      <c r="AO85" s="2436"/>
      <c r="AP85" s="2437"/>
      <c r="AQ85" s="2438"/>
      <c r="AS85" s="231"/>
      <c r="AT85" s="231"/>
      <c r="AU85" s="231"/>
      <c r="AV85" s="231"/>
    </row>
    <row r="86" spans="1:48" s="363" customFormat="1" ht="19.5" customHeight="1" thickBot="1" x14ac:dyDescent="0.3">
      <c r="A86" s="2443"/>
      <c r="B86" s="2537" t="s">
        <v>29</v>
      </c>
      <c r="C86" s="2538"/>
      <c r="D86" s="2538"/>
      <c r="E86" s="2538"/>
      <c r="F86" s="2538"/>
      <c r="G86" s="2539"/>
      <c r="H86" s="1976">
        <f>H82+H83+I18+I19</f>
        <v>7.5250680519569269</v>
      </c>
      <c r="I86" s="1977" t="s">
        <v>2</v>
      </c>
      <c r="J86" s="1978">
        <f>J18+J19+J83+J82</f>
        <v>1.4094266594239999</v>
      </c>
      <c r="K86" s="1976">
        <f>K82+K83+L18+L19</f>
        <v>7.1766158027360802</v>
      </c>
      <c r="L86" s="1977" t="s">
        <v>2</v>
      </c>
      <c r="M86" s="1978">
        <f>M18+M19+M83+M82</f>
        <v>1.3989716046392</v>
      </c>
      <c r="N86" s="1976">
        <f>N82+N83+O18+O19</f>
        <v>6.9813997397241554</v>
      </c>
      <c r="O86" s="1977" t="s">
        <v>2</v>
      </c>
      <c r="P86" s="1978">
        <f>P18+P19+P83+P82</f>
        <v>1.3752698688728</v>
      </c>
      <c r="Q86" s="1976">
        <f>Q82+Q83+R18+R19</f>
        <v>6.8643009769121797</v>
      </c>
      <c r="R86" s="1977" t="s">
        <v>2</v>
      </c>
      <c r="S86" s="1978">
        <f>S18+S19+S83+S82</f>
        <v>1.3344935976079999</v>
      </c>
      <c r="T86" s="1976">
        <f>T82+T83+U18+U19</f>
        <v>6.9423903955914916</v>
      </c>
      <c r="U86" s="1977" t="s">
        <v>2</v>
      </c>
      <c r="V86" s="1978">
        <f>V18+V19+V83+V82</f>
        <v>1.3436461862887998</v>
      </c>
      <c r="W86" s="1976">
        <f>W82+W83+X18+X19</f>
        <v>7.4589051292641244</v>
      </c>
      <c r="X86" s="1977" t="s">
        <v>2</v>
      </c>
      <c r="Y86" s="1978">
        <f>Y18+Y19+Y83+Y82</f>
        <v>1.3903612145767998</v>
      </c>
      <c r="Z86" s="1976">
        <f>Z82+Z83+AA18+AA19</f>
        <v>8.6182873665840631</v>
      </c>
      <c r="AA86" s="1977" t="s">
        <v>2</v>
      </c>
      <c r="AB86" s="1978">
        <f>AB18+AB19+AB83+AB82</f>
        <v>1.5041012198719999</v>
      </c>
      <c r="AC86" s="1976">
        <f>AC82+AC83+AD18+AD19</f>
        <v>9.4658097778872694</v>
      </c>
      <c r="AD86" s="1977" t="s">
        <v>2</v>
      </c>
      <c r="AE86" s="1978">
        <f>AE18+AE19+AE83+AE82</f>
        <v>1.6037551391504004</v>
      </c>
      <c r="AF86" s="1976">
        <f>AF82+AF83+AG18+AG19</f>
        <v>10.154098577573439</v>
      </c>
      <c r="AG86" s="1977" t="s">
        <v>2</v>
      </c>
      <c r="AH86" s="1978">
        <f>AH18+AH19+AH83+AH82</f>
        <v>1.6744799814092002</v>
      </c>
      <c r="AI86" s="1976">
        <f>AI82+AI83+AJ18+AJ19</f>
        <v>10.722304897932489</v>
      </c>
      <c r="AJ86" s="1977" t="s">
        <v>2</v>
      </c>
      <c r="AK86" s="1978">
        <f>AK18+AK19+AK83+AK82</f>
        <v>1.8118579627016</v>
      </c>
      <c r="AL86" s="1976">
        <f>AL82+AL83+AM18+AM19</f>
        <v>10.87601959376134</v>
      </c>
      <c r="AM86" s="1977" t="s">
        <v>2</v>
      </c>
      <c r="AN86" s="1978">
        <f>AN18+AN19+AN83+AN82</f>
        <v>1.7842286783768</v>
      </c>
      <c r="AO86" s="1976">
        <f>AO82+AO83+AP18+AP19</f>
        <v>11.017552754117492</v>
      </c>
      <c r="AP86" s="1977" t="s">
        <v>2</v>
      </c>
      <c r="AQ86" s="1978">
        <f>AQ18+AQ19+AQ83+AQ82</f>
        <v>1.8102303360284</v>
      </c>
      <c r="AS86" s="467"/>
      <c r="AT86" s="467"/>
      <c r="AU86" s="467"/>
      <c r="AV86" s="467"/>
    </row>
    <row r="87" spans="1:48" s="616" customFormat="1" ht="20.25" customHeight="1" x14ac:dyDescent="0.2">
      <c r="A87" s="2472" t="s">
        <v>20</v>
      </c>
      <c r="B87" s="2473"/>
      <c r="C87" s="2473"/>
      <c r="D87" s="2473"/>
      <c r="E87" s="2473"/>
      <c r="F87" s="2473"/>
      <c r="G87" s="2533"/>
      <c r="H87" s="1979"/>
      <c r="I87" s="1980"/>
      <c r="J87" s="1981"/>
      <c r="K87" s="1979"/>
      <c r="L87" s="1980"/>
      <c r="M87" s="1981"/>
      <c r="N87" s="1979"/>
      <c r="O87" s="1980"/>
      <c r="P87" s="1981"/>
      <c r="Q87" s="1979"/>
      <c r="R87" s="1980"/>
      <c r="S87" s="1981"/>
      <c r="T87" s="1979"/>
      <c r="U87" s="1980"/>
      <c r="V87" s="1981"/>
      <c r="W87" s="1979"/>
      <c r="X87" s="1980"/>
      <c r="Y87" s="1981"/>
      <c r="Z87" s="1979"/>
      <c r="AA87" s="1980"/>
      <c r="AB87" s="1981"/>
      <c r="AC87" s="1979"/>
      <c r="AD87" s="1980"/>
      <c r="AE87" s="1981"/>
      <c r="AF87" s="1979"/>
      <c r="AG87" s="1980"/>
      <c r="AH87" s="1981"/>
      <c r="AI87" s="1979"/>
      <c r="AJ87" s="1980"/>
      <c r="AK87" s="1981"/>
      <c r="AL87" s="1979"/>
      <c r="AM87" s="1980"/>
      <c r="AN87" s="1981"/>
      <c r="AO87" s="1979"/>
      <c r="AP87" s="1980"/>
      <c r="AQ87" s="1981"/>
      <c r="AS87" s="643"/>
      <c r="AT87" s="643"/>
      <c r="AU87" s="643"/>
      <c r="AV87" s="643"/>
    </row>
    <row r="88" spans="1:48" s="616" customFormat="1" ht="20.25" customHeight="1" thickBot="1" x14ac:dyDescent="0.25">
      <c r="A88" s="1982" t="s">
        <v>21</v>
      </c>
      <c r="B88" s="1983"/>
      <c r="C88" s="1984"/>
      <c r="D88" s="1983"/>
      <c r="E88" s="1985"/>
      <c r="F88" s="1983" t="s">
        <v>25</v>
      </c>
      <c r="G88" s="1986"/>
      <c r="H88" s="1987">
        <f>SUM(H81,H86)</f>
        <v>13.753308000392757</v>
      </c>
      <c r="I88" s="1988" t="s">
        <v>2</v>
      </c>
      <c r="J88" s="1989">
        <f>SUM(J81,J86)</f>
        <v>2.6265867080678</v>
      </c>
      <c r="K88" s="1987">
        <f>SUM(K81,K86)</f>
        <v>13.086414911818368</v>
      </c>
      <c r="L88" s="1988" t="s">
        <v>2</v>
      </c>
      <c r="M88" s="1989">
        <f>SUM(M81,M86)</f>
        <v>2.6048738688788</v>
      </c>
      <c r="N88" s="1987">
        <f>SUM(N81,N86)</f>
        <v>12.73198833967888</v>
      </c>
      <c r="O88" s="1988" t="s">
        <v>2</v>
      </c>
      <c r="P88" s="1989">
        <f>SUM(P81,P86)</f>
        <v>2.5900845617143999</v>
      </c>
      <c r="Q88" s="1987">
        <f>SUM(Q81,Q86)</f>
        <v>12.530793117474655</v>
      </c>
      <c r="R88" s="1988" t="s">
        <v>2</v>
      </c>
      <c r="S88" s="1989">
        <f>SUM(S81,S86)</f>
        <v>2.5405051884475998</v>
      </c>
      <c r="T88" s="1987">
        <f>SUM(T81,T86)</f>
        <v>12.680969476797184</v>
      </c>
      <c r="U88" s="1988" t="s">
        <v>2</v>
      </c>
      <c r="V88" s="1989">
        <f>SUM(V81,V86)</f>
        <v>2.5550022931933998</v>
      </c>
      <c r="W88" s="1987">
        <f>SUM(W81,W86)</f>
        <v>13.572985342047531</v>
      </c>
      <c r="X88" s="1988" t="s">
        <v>2</v>
      </c>
      <c r="Y88" s="1989">
        <f>SUM(Y81,Y86)</f>
        <v>2.6249231408887996</v>
      </c>
      <c r="Z88" s="1987">
        <f>SUM(Z81,Z86)</f>
        <v>15.648714444523188</v>
      </c>
      <c r="AA88" s="1988" t="s">
        <v>2</v>
      </c>
      <c r="AB88" s="1989">
        <f>SUM(AB81,AB86)</f>
        <v>2.7892223663389997</v>
      </c>
      <c r="AC88" s="1987">
        <f>SUM(AC81,AC86)</f>
        <v>17.36171710561014</v>
      </c>
      <c r="AD88" s="1988" t="s">
        <v>2</v>
      </c>
      <c r="AE88" s="1989">
        <f>SUM(AE81,AE86)</f>
        <v>3.0258997801358003</v>
      </c>
      <c r="AF88" s="1987">
        <f>SUM(AF81,AF86)</f>
        <v>18.720258390697428</v>
      </c>
      <c r="AG88" s="1988" t="s">
        <v>2</v>
      </c>
      <c r="AH88" s="1989">
        <f>SUM(AH81,AH86)</f>
        <v>3.208919318825</v>
      </c>
      <c r="AI88" s="1987">
        <f>SUM(AI81,AI86)</f>
        <v>19.871640008857259</v>
      </c>
      <c r="AJ88" s="1988" t="s">
        <v>2</v>
      </c>
      <c r="AK88" s="1989">
        <f>SUM(AK81,AK86)</f>
        <v>3.4428225318854002</v>
      </c>
      <c r="AL88" s="1987">
        <f>SUM(AL81,AL86)</f>
        <v>20.350051784026391</v>
      </c>
      <c r="AM88" s="1988" t="s">
        <v>2</v>
      </c>
      <c r="AN88" s="1989">
        <f>SUM(AN81,AN86)</f>
        <v>3.4774326762776</v>
      </c>
      <c r="AO88" s="1987">
        <f>SUM(AO81,AO86)</f>
        <v>20.729106836765716</v>
      </c>
      <c r="AP88" s="1988" t="s">
        <v>2</v>
      </c>
      <c r="AQ88" s="1989">
        <f>SUM(AQ81,AQ86)</f>
        <v>3.510437514605</v>
      </c>
      <c r="AS88" s="643"/>
      <c r="AT88" s="643"/>
      <c r="AU88" s="643"/>
      <c r="AV88" s="643"/>
    </row>
    <row r="89" spans="1:48" s="600" customFormat="1" ht="19.5" customHeight="1" x14ac:dyDescent="0.2">
      <c r="A89" s="1990" t="s">
        <v>107</v>
      </c>
      <c r="B89" s="1991"/>
      <c r="C89" s="1991"/>
      <c r="D89" s="1991"/>
      <c r="E89" s="1991"/>
      <c r="F89" s="1991"/>
      <c r="G89" s="1992"/>
      <c r="H89" s="1991"/>
      <c r="I89" s="1993">
        <f>J88/H88</f>
        <v>0.19097854188917981</v>
      </c>
      <c r="J89" s="1991"/>
      <c r="K89" s="1991"/>
      <c r="L89" s="1993">
        <f>M88/K88</f>
        <v>0.19905175607158329</v>
      </c>
      <c r="M89" s="1991"/>
      <c r="N89" s="1991"/>
      <c r="O89" s="1993">
        <f>P88/N88</f>
        <v>0.20343127032581981</v>
      </c>
      <c r="P89" s="1991"/>
      <c r="Q89" s="1991"/>
      <c r="R89" s="1993">
        <f>S88/Q88</f>
        <v>0.20274097294805477</v>
      </c>
      <c r="S89" s="1991"/>
      <c r="T89" s="1991"/>
      <c r="U89" s="1993">
        <f>V88/T88</f>
        <v>0.20148319873085235</v>
      </c>
      <c r="V89" s="1991"/>
      <c r="W89" s="1991"/>
      <c r="X89" s="1993">
        <f>Y88/W88</f>
        <v>0.19339320530739049</v>
      </c>
      <c r="Y89" s="1991"/>
      <c r="Z89" s="1991"/>
      <c r="AA89" s="1993">
        <f>AB88/Z88</f>
        <v>0.17823971267589875</v>
      </c>
      <c r="AB89" s="1991"/>
      <c r="AC89" s="1991"/>
      <c r="AD89" s="1993">
        <f>AE88/AC88</f>
        <v>0.1742857438425853</v>
      </c>
      <c r="AE89" s="1991"/>
      <c r="AF89" s="1991"/>
      <c r="AG89" s="1993">
        <f>AH88/AF88</f>
        <v>0.17141426426141604</v>
      </c>
      <c r="AH89" s="1991"/>
      <c r="AI89" s="1991"/>
      <c r="AJ89" s="1993">
        <f>AK88/AI88</f>
        <v>0.1732530646867019</v>
      </c>
      <c r="AK89" s="1991"/>
      <c r="AL89" s="1991"/>
      <c r="AM89" s="1993">
        <f>AN88/AL88</f>
        <v>0.17088077775837321</v>
      </c>
      <c r="AN89" s="1991"/>
      <c r="AO89" s="1991"/>
      <c r="AP89" s="1993">
        <f>AQ88/AO88</f>
        <v>0.16934822818216128</v>
      </c>
      <c r="AQ89" s="1991"/>
      <c r="AS89" s="974"/>
      <c r="AT89" s="974"/>
      <c r="AU89" s="974"/>
      <c r="AV89" s="974"/>
    </row>
    <row r="90" spans="1:48" s="600" customFormat="1" ht="19.5" customHeight="1" x14ac:dyDescent="0.2">
      <c r="A90" s="1990" t="s">
        <v>205</v>
      </c>
      <c r="B90" s="1990"/>
      <c r="C90" s="1990"/>
      <c r="D90" s="1994"/>
      <c r="E90" s="1994"/>
      <c r="F90" s="1990"/>
      <c r="G90" s="1995"/>
      <c r="H90" s="1995"/>
      <c r="I90" s="1995"/>
      <c r="J90" s="1995"/>
      <c r="K90" s="1995"/>
      <c r="L90" s="1995"/>
      <c r="M90" s="1995"/>
      <c r="N90" s="1995"/>
      <c r="O90" s="1995"/>
      <c r="P90" s="1995"/>
      <c r="Q90" s="1995"/>
      <c r="R90" s="1995"/>
      <c r="S90" s="1995"/>
      <c r="T90" s="1995"/>
      <c r="U90" s="1995"/>
      <c r="V90" s="1995"/>
      <c r="W90" s="1995"/>
      <c r="X90" s="1995"/>
      <c r="Y90" s="1995"/>
      <c r="Z90" s="1995"/>
      <c r="AA90" s="1995"/>
      <c r="AB90" s="1995"/>
      <c r="AC90" s="1995"/>
      <c r="AD90" s="1995"/>
      <c r="AE90" s="1995"/>
      <c r="AF90" s="1995"/>
      <c r="AG90" s="1995"/>
      <c r="AH90" s="1995"/>
      <c r="AI90" s="1995"/>
      <c r="AJ90" s="1995"/>
      <c r="AK90" s="1995"/>
      <c r="AL90" s="1995"/>
      <c r="AM90" s="1995"/>
      <c r="AN90" s="1995"/>
      <c r="AO90" s="1995"/>
      <c r="AP90" s="1995"/>
      <c r="AQ90" s="1995"/>
      <c r="AS90" s="974"/>
      <c r="AT90" s="974"/>
      <c r="AU90" s="974"/>
      <c r="AV90" s="974"/>
    </row>
    <row r="91" spans="1:48" s="375" customFormat="1" ht="16.5" customHeight="1" x14ac:dyDescent="0.25">
      <c r="A91" s="1996"/>
      <c r="B91" s="1996"/>
      <c r="C91" s="1996"/>
      <c r="D91" s="1996"/>
      <c r="E91" s="1996"/>
      <c r="F91" s="1996"/>
      <c r="G91" s="1997"/>
      <c r="H91" s="1997"/>
      <c r="I91" s="1997"/>
      <c r="J91" s="1997"/>
      <c r="K91" s="1997"/>
      <c r="L91" s="1997"/>
      <c r="M91" s="1997"/>
      <c r="N91" s="1997"/>
      <c r="O91" s="1997"/>
      <c r="P91" s="1997"/>
      <c r="Q91" s="1997"/>
      <c r="R91" s="1997"/>
      <c r="S91" s="1997"/>
      <c r="T91" s="1998"/>
      <c r="U91" s="1999"/>
      <c r="V91" s="1997"/>
      <c r="W91" s="1997"/>
      <c r="X91" s="1997"/>
      <c r="Y91" s="1997"/>
      <c r="Z91" s="1997"/>
      <c r="AA91" s="1997"/>
      <c r="AB91" s="1997"/>
      <c r="AC91" s="1997"/>
      <c r="AD91" s="1997"/>
      <c r="AE91" s="1997"/>
      <c r="AF91" s="1997"/>
      <c r="AG91" s="1997"/>
      <c r="AH91" s="1997"/>
      <c r="AI91" s="1997"/>
      <c r="AJ91" s="1997"/>
      <c r="AK91" s="1997"/>
      <c r="AL91" s="1997"/>
      <c r="AM91" s="1997"/>
      <c r="AN91" s="1997"/>
      <c r="AO91" s="1997"/>
      <c r="AP91" s="1997"/>
      <c r="AQ91" s="1997"/>
      <c r="AS91" s="379"/>
      <c r="AT91" s="379"/>
      <c r="AU91" s="379"/>
      <c r="AV91" s="379"/>
    </row>
    <row r="92" spans="1:48" s="378" customFormat="1" ht="24" customHeight="1" thickBot="1" x14ac:dyDescent="0.3">
      <c r="A92" s="2000"/>
      <c r="B92" s="2000"/>
      <c r="C92" s="2000"/>
      <c r="D92" s="2000"/>
      <c r="E92" s="2000"/>
      <c r="F92" s="2000"/>
      <c r="G92" s="2000"/>
      <c r="H92" s="1801"/>
      <c r="I92" s="1823"/>
      <c r="J92" s="1823"/>
      <c r="K92" s="1801"/>
      <c r="L92" s="1823"/>
      <c r="M92" s="1823"/>
      <c r="N92" s="1801"/>
      <c r="O92" s="1823"/>
      <c r="P92" s="1823"/>
      <c r="Q92" s="1801"/>
      <c r="R92" s="1823"/>
      <c r="S92" s="1823"/>
      <c r="T92" s="1801"/>
      <c r="U92" s="1823"/>
      <c r="V92" s="1823"/>
      <c r="W92" s="1801"/>
      <c r="X92" s="1823"/>
      <c r="Y92" s="1823"/>
      <c r="Z92" s="1801"/>
      <c r="AA92" s="1823"/>
      <c r="AB92" s="1823"/>
      <c r="AC92" s="1801"/>
      <c r="AD92" s="1823"/>
      <c r="AE92" s="1823"/>
      <c r="AF92" s="1801"/>
      <c r="AG92" s="1823"/>
      <c r="AH92" s="1823"/>
      <c r="AI92" s="1801"/>
      <c r="AJ92" s="1823"/>
      <c r="AK92" s="1823"/>
      <c r="AL92" s="1801"/>
      <c r="AM92" s="1823"/>
      <c r="AN92" s="1823"/>
      <c r="AO92" s="1801"/>
      <c r="AP92" s="1823"/>
      <c r="AQ92" s="1823"/>
      <c r="AS92" s="471"/>
      <c r="AT92" s="471"/>
      <c r="AU92" s="471"/>
      <c r="AV92" s="471"/>
    </row>
    <row r="93" spans="1:48" s="239" customFormat="1" ht="31.5" customHeight="1" thickBot="1" x14ac:dyDescent="0.3">
      <c r="A93" s="2534" t="s">
        <v>12</v>
      </c>
      <c r="B93" s="2535"/>
      <c r="C93" s="2535"/>
      <c r="D93" s="2535"/>
      <c r="E93" s="2535"/>
      <c r="F93" s="2535"/>
      <c r="G93" s="2536"/>
      <c r="H93" s="2518" t="s">
        <v>108</v>
      </c>
      <c r="I93" s="2519"/>
      <c r="J93" s="2520"/>
      <c r="K93" s="2518" t="s">
        <v>109</v>
      </c>
      <c r="L93" s="2519"/>
      <c r="M93" s="2520"/>
      <c r="N93" s="2518" t="s">
        <v>110</v>
      </c>
      <c r="O93" s="2519"/>
      <c r="P93" s="2520"/>
      <c r="Q93" s="2518" t="s">
        <v>111</v>
      </c>
      <c r="R93" s="2519"/>
      <c r="S93" s="2520"/>
      <c r="T93" s="2518" t="s">
        <v>112</v>
      </c>
      <c r="U93" s="2519"/>
      <c r="V93" s="2520"/>
      <c r="W93" s="2518" t="s">
        <v>113</v>
      </c>
      <c r="X93" s="2519"/>
      <c r="Y93" s="2520"/>
      <c r="Z93" s="2518" t="s">
        <v>114</v>
      </c>
      <c r="AA93" s="2519"/>
      <c r="AB93" s="2520"/>
      <c r="AC93" s="2518" t="s">
        <v>115</v>
      </c>
      <c r="AD93" s="2519"/>
      <c r="AE93" s="2520"/>
      <c r="AF93" s="2518" t="s">
        <v>116</v>
      </c>
      <c r="AG93" s="2519"/>
      <c r="AH93" s="2520"/>
      <c r="AI93" s="2518" t="s">
        <v>117</v>
      </c>
      <c r="AJ93" s="2519"/>
      <c r="AK93" s="2520"/>
      <c r="AL93" s="2518" t="s">
        <v>118</v>
      </c>
      <c r="AM93" s="2519"/>
      <c r="AN93" s="2520"/>
      <c r="AO93" s="2518" t="s">
        <v>119</v>
      </c>
      <c r="AP93" s="2519"/>
      <c r="AQ93" s="2520"/>
      <c r="AS93" s="238"/>
      <c r="AT93" s="238"/>
      <c r="AU93" s="238"/>
      <c r="AV93" s="238"/>
    </row>
    <row r="94" spans="1:48" s="378" customFormat="1" ht="22.5" customHeight="1" x14ac:dyDescent="0.25">
      <c r="A94" s="2521" t="s">
        <v>79</v>
      </c>
      <c r="B94" s="2522"/>
      <c r="C94" s="2525" t="s">
        <v>80</v>
      </c>
      <c r="D94" s="2527"/>
      <c r="E94" s="2528"/>
      <c r="F94" s="2528"/>
      <c r="G94" s="2529"/>
      <c r="H94" s="1808" t="s">
        <v>4</v>
      </c>
      <c r="I94" s="1809" t="s">
        <v>9</v>
      </c>
      <c r="J94" s="1810" t="s">
        <v>10</v>
      </c>
      <c r="K94" s="1808" t="s">
        <v>4</v>
      </c>
      <c r="L94" s="1809" t="s">
        <v>9</v>
      </c>
      <c r="M94" s="1810" t="s">
        <v>10</v>
      </c>
      <c r="N94" s="1808" t="s">
        <v>4</v>
      </c>
      <c r="O94" s="1809" t="s">
        <v>9</v>
      </c>
      <c r="P94" s="1810" t="s">
        <v>10</v>
      </c>
      <c r="Q94" s="1808" t="s">
        <v>4</v>
      </c>
      <c r="R94" s="1809" t="s">
        <v>9</v>
      </c>
      <c r="S94" s="1810" t="s">
        <v>10</v>
      </c>
      <c r="T94" s="1808" t="s">
        <v>4</v>
      </c>
      <c r="U94" s="1809" t="s">
        <v>9</v>
      </c>
      <c r="V94" s="1810" t="s">
        <v>10</v>
      </c>
      <c r="W94" s="1808" t="s">
        <v>4</v>
      </c>
      <c r="X94" s="1809" t="s">
        <v>9</v>
      </c>
      <c r="Y94" s="1810" t="s">
        <v>10</v>
      </c>
      <c r="Z94" s="1808" t="s">
        <v>4</v>
      </c>
      <c r="AA94" s="1809" t="s">
        <v>9</v>
      </c>
      <c r="AB94" s="1810" t="s">
        <v>10</v>
      </c>
      <c r="AC94" s="1808" t="s">
        <v>4</v>
      </c>
      <c r="AD94" s="1809" t="s">
        <v>9</v>
      </c>
      <c r="AE94" s="1810" t="s">
        <v>10</v>
      </c>
      <c r="AF94" s="1808" t="s">
        <v>4</v>
      </c>
      <c r="AG94" s="1809" t="s">
        <v>9</v>
      </c>
      <c r="AH94" s="1810" t="s">
        <v>10</v>
      </c>
      <c r="AI94" s="1808" t="s">
        <v>4</v>
      </c>
      <c r="AJ94" s="1809" t="s">
        <v>9</v>
      </c>
      <c r="AK94" s="1810" t="s">
        <v>10</v>
      </c>
      <c r="AL94" s="1808" t="s">
        <v>4</v>
      </c>
      <c r="AM94" s="1809" t="s">
        <v>9</v>
      </c>
      <c r="AN94" s="1810" t="s">
        <v>10</v>
      </c>
      <c r="AO94" s="1808" t="s">
        <v>4</v>
      </c>
      <c r="AP94" s="1809" t="s">
        <v>9</v>
      </c>
      <c r="AQ94" s="1810" t="s">
        <v>10</v>
      </c>
      <c r="AS94" s="471"/>
      <c r="AT94" s="471"/>
      <c r="AU94" s="471"/>
      <c r="AV94" s="471"/>
    </row>
    <row r="95" spans="1:48" ht="23.25" customHeight="1" thickBot="1" x14ac:dyDescent="0.3">
      <c r="A95" s="2523"/>
      <c r="B95" s="2524"/>
      <c r="C95" s="2526"/>
      <c r="D95" s="2530"/>
      <c r="E95" s="2531"/>
      <c r="F95" s="2531"/>
      <c r="G95" s="2532"/>
      <c r="H95" s="1814" t="s">
        <v>30</v>
      </c>
      <c r="I95" s="1815" t="s">
        <v>31</v>
      </c>
      <c r="J95" s="1816" t="s">
        <v>32</v>
      </c>
      <c r="K95" s="1814" t="s">
        <v>30</v>
      </c>
      <c r="L95" s="1815" t="s">
        <v>31</v>
      </c>
      <c r="M95" s="1816" t="s">
        <v>32</v>
      </c>
      <c r="N95" s="1814" t="s">
        <v>30</v>
      </c>
      <c r="O95" s="1815" t="s">
        <v>31</v>
      </c>
      <c r="P95" s="1816" t="s">
        <v>32</v>
      </c>
      <c r="Q95" s="1814" t="s">
        <v>30</v>
      </c>
      <c r="R95" s="1815" t="s">
        <v>31</v>
      </c>
      <c r="S95" s="1816" t="s">
        <v>32</v>
      </c>
      <c r="T95" s="1814" t="s">
        <v>30</v>
      </c>
      <c r="U95" s="1815" t="s">
        <v>31</v>
      </c>
      <c r="V95" s="1816" t="s">
        <v>32</v>
      </c>
      <c r="W95" s="1814" t="s">
        <v>30</v>
      </c>
      <c r="X95" s="1815" t="s">
        <v>31</v>
      </c>
      <c r="Y95" s="1816" t="s">
        <v>32</v>
      </c>
      <c r="Z95" s="1814" t="s">
        <v>30</v>
      </c>
      <c r="AA95" s="1815" t="s">
        <v>31</v>
      </c>
      <c r="AB95" s="1816" t="s">
        <v>32</v>
      </c>
      <c r="AC95" s="1814" t="s">
        <v>30</v>
      </c>
      <c r="AD95" s="1815" t="s">
        <v>31</v>
      </c>
      <c r="AE95" s="1816" t="s">
        <v>32</v>
      </c>
      <c r="AF95" s="1814" t="s">
        <v>30</v>
      </c>
      <c r="AG95" s="1815" t="s">
        <v>31</v>
      </c>
      <c r="AH95" s="1816" t="s">
        <v>32</v>
      </c>
      <c r="AI95" s="1814" t="s">
        <v>30</v>
      </c>
      <c r="AJ95" s="1815" t="s">
        <v>31</v>
      </c>
      <c r="AK95" s="1816" t="s">
        <v>32</v>
      </c>
      <c r="AL95" s="1814" t="s">
        <v>30</v>
      </c>
      <c r="AM95" s="1815" t="s">
        <v>31</v>
      </c>
      <c r="AN95" s="1816" t="s">
        <v>32</v>
      </c>
      <c r="AO95" s="1814" t="s">
        <v>30</v>
      </c>
      <c r="AP95" s="1815" t="s">
        <v>31</v>
      </c>
      <c r="AQ95" s="1816" t="s">
        <v>32</v>
      </c>
    </row>
    <row r="96" spans="1:48" ht="16.5" x14ac:dyDescent="0.25">
      <c r="A96" s="2507" t="s">
        <v>0</v>
      </c>
      <c r="B96" s="2199"/>
      <c r="C96" s="2441">
        <v>40</v>
      </c>
      <c r="D96" s="2509" t="s">
        <v>13</v>
      </c>
      <c r="E96" s="2510"/>
      <c r="F96" s="2202" t="s">
        <v>81</v>
      </c>
      <c r="G96" s="2203"/>
      <c r="H96" s="1817">
        <f>SQRT(I96^2+J96^2)*1000/(SQRT(3)*H100)</f>
        <v>46.38377604027356</v>
      </c>
      <c r="I96" s="1818">
        <v>9.4380000000000006</v>
      </c>
      <c r="J96" s="1819">
        <v>1.5246</v>
      </c>
      <c r="K96" s="1817">
        <f>SQRT(L96^2+M96^2)*1000/(SQRT(3)*K100)</f>
        <v>46.704999734630654</v>
      </c>
      <c r="L96" s="1818">
        <v>9.5039999999999996</v>
      </c>
      <c r="M96" s="1819">
        <v>1.5312000000000001</v>
      </c>
      <c r="N96" s="1817">
        <f>SQRT(O96^2+P96^2)*1000/(SQRT(3)*N100)</f>
        <v>47.273100363066803</v>
      </c>
      <c r="O96" s="1818">
        <v>9.616200000000001</v>
      </c>
      <c r="P96" s="1819">
        <v>1.5708000000000002</v>
      </c>
      <c r="Q96" s="1817">
        <f>SQRT(R96^2+S96^2)*1000/(SQRT(3)*Q100)</f>
        <v>48.506006360668614</v>
      </c>
      <c r="R96" s="1818">
        <v>9.8735999999999997</v>
      </c>
      <c r="S96" s="1819">
        <v>1.5708000000000002</v>
      </c>
      <c r="T96" s="1817">
        <f>SQRT(U96^2+V96^2)*1000/(SQRT(3)*T100)</f>
        <v>48.254703880333082</v>
      </c>
      <c r="U96" s="1818">
        <v>9.8274000000000008</v>
      </c>
      <c r="V96" s="1819">
        <v>1.5312000000000001</v>
      </c>
      <c r="W96" s="1817">
        <f>SQRT(X96^2+Y96^2)*1000/(SQRT(3)*W100)</f>
        <v>47.82861297584909</v>
      </c>
      <c r="X96" s="1818">
        <v>9.7416</v>
      </c>
      <c r="Y96" s="1819">
        <v>1.5114000000000001</v>
      </c>
      <c r="Z96" s="1817">
        <f>SQRT(AA96^2+AB96^2)*1000/(SQRT(3)*Z100)</f>
        <v>47.522473552519976</v>
      </c>
      <c r="AA96" s="1818">
        <v>9.6887999999999987</v>
      </c>
      <c r="AB96" s="1819">
        <v>1.4387999999999999</v>
      </c>
      <c r="AC96" s="1817">
        <f>SQRT(AD96^2+AE96^2)*1000/(SQRT(3)*AC100)</f>
        <v>45.837809757154609</v>
      </c>
      <c r="AD96" s="1818">
        <v>9.3455999999999992</v>
      </c>
      <c r="AE96" s="1819">
        <v>1.3859999999999999</v>
      </c>
      <c r="AF96" s="1817">
        <f>SQRT(AG96^2+AH96^2)*1000/(SQRT(3)*AF100)</f>
        <v>43.524506877872128</v>
      </c>
      <c r="AG96" s="1818">
        <v>8.8704000000000018</v>
      </c>
      <c r="AH96" s="1819">
        <v>1.3397999999999999</v>
      </c>
      <c r="AI96" s="1817">
        <f>SQRT(AJ96^2+AK96^2)*1000/(SQRT(3)*AI100)</f>
        <v>40.846697398559243</v>
      </c>
      <c r="AJ96" s="1818">
        <v>8.3160000000000007</v>
      </c>
      <c r="AK96" s="1819">
        <v>1.3134000000000001</v>
      </c>
      <c r="AL96" s="1817">
        <f>SQRT(AM96^2+AN96^2)*1000/(SQRT(3)*AL100)</f>
        <v>37.402421651536642</v>
      </c>
      <c r="AM96" s="1818">
        <v>7.6032000000000011</v>
      </c>
      <c r="AN96" s="1819">
        <v>1.2738000000000003</v>
      </c>
      <c r="AO96" s="1817">
        <f>SQRT(AP96^2+AQ96^2)*1000/(SQRT(3)*AO100)</f>
        <v>33.19219085553086</v>
      </c>
      <c r="AP96" s="1818">
        <v>6.7385999999999999</v>
      </c>
      <c r="AQ96" s="1819">
        <v>1.1814</v>
      </c>
      <c r="AR96" s="284"/>
      <c r="AS96" s="393"/>
    </row>
    <row r="97" spans="1:46" ht="16.5" x14ac:dyDescent="0.25">
      <c r="A97" s="2508"/>
      <c r="B97" s="2483"/>
      <c r="C97" s="2442"/>
      <c r="D97" s="2511"/>
      <c r="E97" s="2512"/>
      <c r="F97" s="2487" t="s">
        <v>82</v>
      </c>
      <c r="G97" s="2488"/>
      <c r="H97" s="1820">
        <f>SQRT(I97^2+J97^2)*1000/(SQRT(3)*H101)</f>
        <v>266.95562800362819</v>
      </c>
      <c r="I97" s="1821">
        <v>4.6589999999999998</v>
      </c>
      <c r="J97" s="1822">
        <v>0.32100000000000001</v>
      </c>
      <c r="K97" s="1820">
        <f>SQRT(L97^2+M97^2)*1000/(SQRT(3)*K101)</f>
        <v>271.76957174679899</v>
      </c>
      <c r="L97" s="1821">
        <v>4.7430000000000003</v>
      </c>
      <c r="M97" s="1822">
        <v>0.32700000000000001</v>
      </c>
      <c r="N97" s="1820">
        <f>SQRT(O97^2+P97^2)*1000/(SQRT(3)*N101)</f>
        <v>270.87914686200162</v>
      </c>
      <c r="O97" s="1821">
        <v>4.7279999999999998</v>
      </c>
      <c r="P97" s="1822">
        <v>0.318</v>
      </c>
      <c r="Q97" s="1820">
        <f>SQRT(R97^2+S97^2)*1000/(SQRT(3)*Q101)</f>
        <v>281.48847436419555</v>
      </c>
      <c r="R97" s="1821">
        <v>4.9139999999999997</v>
      </c>
      <c r="S97" s="1822">
        <v>0.318</v>
      </c>
      <c r="T97" s="1820">
        <f>SQRT(U97^2+V97^2)*1000/(SQRT(3)*T101)</f>
        <v>284.41991279692826</v>
      </c>
      <c r="U97" s="1821">
        <v>4.9649999999999999</v>
      </c>
      <c r="V97" s="1822">
        <v>0.32400000000000001</v>
      </c>
      <c r="W97" s="1820">
        <f>SQRT(X97^2+Y97^2)*1000/(SQRT(3)*W101)</f>
        <v>290.79637735878293</v>
      </c>
      <c r="X97" s="1821">
        <v>5.0759999999999996</v>
      </c>
      <c r="Y97" s="1822">
        <v>0.33600000000000002</v>
      </c>
      <c r="Z97" s="1820">
        <f>SQRT(AA97^2+AB97^2)*1000/(SQRT(3)*Z101)</f>
        <v>290.15413594437513</v>
      </c>
      <c r="AA97" s="1821">
        <v>5.0670000000000002</v>
      </c>
      <c r="AB97" s="1822">
        <v>0.3</v>
      </c>
      <c r="AC97" s="1820">
        <f>SQRT(AD97^2+AE97^2)*1000/(SQRT(3)*AC101)</f>
        <v>281.45571913036872</v>
      </c>
      <c r="AD97" s="1821">
        <v>4.9139999999999997</v>
      </c>
      <c r="AE97" s="1822">
        <v>0.309</v>
      </c>
      <c r="AF97" s="1820">
        <f>SQRT(AG97^2+AH97^2)*1000/(SQRT(3)*AF101)</f>
        <v>262.20063243599986</v>
      </c>
      <c r="AG97" s="1821">
        <v>4.5780000000000003</v>
      </c>
      <c r="AH97" s="1822">
        <v>0.28499999999999998</v>
      </c>
      <c r="AI97" s="1820">
        <f>SQRT(AJ97^2+AK97^2)*1000/(SQRT(3)*AI101)</f>
        <v>242.36094884802927</v>
      </c>
      <c r="AJ97" s="1821">
        <v>4.2300000000000004</v>
      </c>
      <c r="AK97" s="1822">
        <v>0.28799999999999998</v>
      </c>
      <c r="AL97" s="1820">
        <f>SQRT(AM97^2+AN97^2)*1000/(SQRT(3)*AL101)</f>
        <v>216.70388204389153</v>
      </c>
      <c r="AM97" s="1821">
        <v>3.78</v>
      </c>
      <c r="AN97" s="1822">
        <v>0.28799999999999998</v>
      </c>
      <c r="AO97" s="1820">
        <f>SQRT(AP97^2+AQ97^2)*1000/(SQRT(3)*AO101)</f>
        <v>181.15281266142026</v>
      </c>
      <c r="AP97" s="1821">
        <v>3.1589999999999998</v>
      </c>
      <c r="AQ97" s="1822">
        <v>0.252</v>
      </c>
      <c r="AR97" s="284"/>
      <c r="AS97" s="393"/>
      <c r="AT97" s="393"/>
    </row>
    <row r="98" spans="1:46" ht="17.25" thickBot="1" x14ac:dyDescent="0.3">
      <c r="A98" s="2481"/>
      <c r="B98" s="2483"/>
      <c r="C98" s="2442"/>
      <c r="D98" s="2513"/>
      <c r="E98" s="2514"/>
      <c r="F98" s="2204" t="s">
        <v>200</v>
      </c>
      <c r="G98" s="2205"/>
      <c r="H98" s="1825">
        <f>SQRT(I98^2+J98^2)*1000/(SQRT(3)*H102)</f>
        <v>467.30307795548134</v>
      </c>
      <c r="I98" s="1826">
        <v>4.7549999999999999</v>
      </c>
      <c r="J98" s="1827">
        <v>0.98699999999999999</v>
      </c>
      <c r="K98" s="1825">
        <f>SQRT(L98^2+M98^2)*1000/(SQRT(3)*K102)</f>
        <v>466.27960138383349</v>
      </c>
      <c r="L98" s="1826">
        <v>4.7460000000000004</v>
      </c>
      <c r="M98" s="1827">
        <v>0.97799999999999998</v>
      </c>
      <c r="N98" s="1825">
        <f>SQRT(O98^2+P98^2)*1000/(SQRT(3)*N102)</f>
        <v>479.15072437247403</v>
      </c>
      <c r="O98" s="1826">
        <v>4.8719999999999999</v>
      </c>
      <c r="P98" s="1827">
        <v>1.0289999999999999</v>
      </c>
      <c r="Q98" s="1825">
        <f>SQRT(R98^2+S98^2)*1000/(SQRT(3)*Q102)</f>
        <v>484.84928929857506</v>
      </c>
      <c r="R98" s="1826">
        <v>4.9349999999999996</v>
      </c>
      <c r="S98" s="1827">
        <v>1.0169999999999999</v>
      </c>
      <c r="T98" s="1825">
        <f>SQRT(U98^2+V98^2)*1000/(SQRT(3)*T102)</f>
        <v>476.06871002688951</v>
      </c>
      <c r="U98" s="1826">
        <v>4.8479999999999999</v>
      </c>
      <c r="V98" s="1827">
        <v>0.98699999999999999</v>
      </c>
      <c r="W98" s="1825">
        <f>SQRT(X98^2+Y98^2)*1000/(SQRT(3)*W102)</f>
        <v>455.85981032184293</v>
      </c>
      <c r="X98" s="1826">
        <v>4.641</v>
      </c>
      <c r="Y98" s="1827">
        <v>0.95099999999999996</v>
      </c>
      <c r="Z98" s="1825">
        <f>SQRT(AA98^2+AB98^2)*1000/(SQRT(3)*Z102)</f>
        <v>451.38241362876926</v>
      </c>
      <c r="AA98" s="1826">
        <v>4.5990000000000002</v>
      </c>
      <c r="AB98" s="1827">
        <v>0.92400000000000004</v>
      </c>
      <c r="AC98" s="1825">
        <f>SQRT(AD98^2+AE98^2)*1000/(SQRT(3)*AC102)</f>
        <v>433.20972596037893</v>
      </c>
      <c r="AD98" s="1826">
        <v>4.4160000000000004</v>
      </c>
      <c r="AE98" s="1827">
        <v>0.876</v>
      </c>
      <c r="AF98" s="1825">
        <f>SQRT(AG98^2+AH98^2)*1000/(SQRT(3)*AF102)</f>
        <v>420.02589205904917</v>
      </c>
      <c r="AG98" s="1826">
        <v>4.2750000000000004</v>
      </c>
      <c r="AH98" s="1827">
        <v>0.88200000000000001</v>
      </c>
      <c r="AI98" s="1825">
        <f>SQRT(AJ98^2+AK98^2)*1000/(SQRT(3)*AI102)</f>
        <v>399.61022676269602</v>
      </c>
      <c r="AJ98" s="1826">
        <v>4.0620000000000003</v>
      </c>
      <c r="AK98" s="1827">
        <v>0.86399999999999999</v>
      </c>
      <c r="AL98" s="1825">
        <f>SQRT(AM98^2+AN98^2)*1000/(SQRT(3)*AL102)</f>
        <v>375.3905743799827</v>
      </c>
      <c r="AM98" s="1826">
        <v>3.8069999999999999</v>
      </c>
      <c r="AN98" s="1827">
        <v>0.85199999999999998</v>
      </c>
      <c r="AO98" s="1825">
        <f>SQRT(AP98^2+AQ98^2)*1000/(SQRT(3)*AO102)</f>
        <v>351.78070820706847</v>
      </c>
      <c r="AP98" s="1826">
        <v>3.5579999999999998</v>
      </c>
      <c r="AQ98" s="1827">
        <v>0.84</v>
      </c>
      <c r="AR98" s="284"/>
      <c r="AS98" s="393"/>
    </row>
    <row r="99" spans="1:46" ht="17.25" thickBot="1" x14ac:dyDescent="0.3">
      <c r="A99" s="2481"/>
      <c r="B99" s="2483"/>
      <c r="C99" s="2442"/>
      <c r="D99" s="2492" t="s">
        <v>39</v>
      </c>
      <c r="E99" s="2493"/>
      <c r="F99" s="2516"/>
      <c r="G99" s="2517"/>
      <c r="H99" s="2501">
        <v>6</v>
      </c>
      <c r="I99" s="2502"/>
      <c r="J99" s="2503"/>
      <c r="K99" s="2501">
        <v>6</v>
      </c>
      <c r="L99" s="2502"/>
      <c r="M99" s="2503"/>
      <c r="N99" s="2501">
        <v>6</v>
      </c>
      <c r="O99" s="2502"/>
      <c r="P99" s="2503"/>
      <c r="Q99" s="2501">
        <v>6</v>
      </c>
      <c r="R99" s="2502"/>
      <c r="S99" s="2503"/>
      <c r="T99" s="2501">
        <v>6</v>
      </c>
      <c r="U99" s="2502"/>
      <c r="V99" s="2503"/>
      <c r="W99" s="2501">
        <v>6</v>
      </c>
      <c r="X99" s="2502"/>
      <c r="Y99" s="2503"/>
      <c r="Z99" s="2501">
        <v>6</v>
      </c>
      <c r="AA99" s="2502"/>
      <c r="AB99" s="2503"/>
      <c r="AC99" s="2501">
        <v>6</v>
      </c>
      <c r="AD99" s="2502"/>
      <c r="AE99" s="2503"/>
      <c r="AF99" s="2501">
        <v>6</v>
      </c>
      <c r="AG99" s="2502"/>
      <c r="AH99" s="2503"/>
      <c r="AI99" s="2501">
        <v>6</v>
      </c>
      <c r="AJ99" s="2502"/>
      <c r="AK99" s="2503"/>
      <c r="AL99" s="2501">
        <v>6</v>
      </c>
      <c r="AM99" s="2502"/>
      <c r="AN99" s="2503"/>
      <c r="AO99" s="2501">
        <v>6</v>
      </c>
      <c r="AP99" s="2502"/>
      <c r="AQ99" s="2503"/>
      <c r="AR99" s="284"/>
      <c r="AS99" s="393"/>
    </row>
    <row r="100" spans="1:46" ht="16.5" x14ac:dyDescent="0.25">
      <c r="A100" s="2481"/>
      <c r="B100" s="2483"/>
      <c r="C100" s="2442"/>
      <c r="D100" s="2198" t="s">
        <v>14</v>
      </c>
      <c r="E100" s="2480"/>
      <c r="F100" s="2202" t="s">
        <v>81</v>
      </c>
      <c r="G100" s="2203"/>
      <c r="H100" s="2498">
        <v>119</v>
      </c>
      <c r="I100" s="2499"/>
      <c r="J100" s="2500"/>
      <c r="K100" s="2498">
        <v>119</v>
      </c>
      <c r="L100" s="2499"/>
      <c r="M100" s="2500"/>
      <c r="N100" s="2498">
        <v>119</v>
      </c>
      <c r="O100" s="2499"/>
      <c r="P100" s="2500"/>
      <c r="Q100" s="2498">
        <v>119</v>
      </c>
      <c r="R100" s="2499"/>
      <c r="S100" s="2500"/>
      <c r="T100" s="2498">
        <v>119</v>
      </c>
      <c r="U100" s="2499"/>
      <c r="V100" s="2500"/>
      <c r="W100" s="2498">
        <v>119</v>
      </c>
      <c r="X100" s="2499"/>
      <c r="Y100" s="2500"/>
      <c r="Z100" s="2498">
        <v>119</v>
      </c>
      <c r="AA100" s="2499"/>
      <c r="AB100" s="2500"/>
      <c r="AC100" s="2498">
        <v>119</v>
      </c>
      <c r="AD100" s="2499"/>
      <c r="AE100" s="2500"/>
      <c r="AF100" s="2498">
        <v>119</v>
      </c>
      <c r="AG100" s="2499"/>
      <c r="AH100" s="2500"/>
      <c r="AI100" s="2498">
        <v>119</v>
      </c>
      <c r="AJ100" s="2499"/>
      <c r="AK100" s="2500"/>
      <c r="AL100" s="2498">
        <v>119</v>
      </c>
      <c r="AM100" s="2499"/>
      <c r="AN100" s="2500"/>
      <c r="AO100" s="2498">
        <v>119</v>
      </c>
      <c r="AP100" s="2499"/>
      <c r="AQ100" s="2500"/>
      <c r="AR100" s="284"/>
      <c r="AS100" s="393"/>
    </row>
    <row r="101" spans="1:46" ht="16.5" x14ac:dyDescent="0.25">
      <c r="A101" s="2481"/>
      <c r="B101" s="2483"/>
      <c r="C101" s="2442"/>
      <c r="D101" s="2481"/>
      <c r="E101" s="2482"/>
      <c r="F101" s="2487" t="s">
        <v>82</v>
      </c>
      <c r="G101" s="2488"/>
      <c r="H101" s="2495">
        <v>10.1</v>
      </c>
      <c r="I101" s="2496"/>
      <c r="J101" s="2497"/>
      <c r="K101" s="2495">
        <v>10.1</v>
      </c>
      <c r="L101" s="2496"/>
      <c r="M101" s="2497"/>
      <c r="N101" s="2495">
        <v>10.1</v>
      </c>
      <c r="O101" s="2496"/>
      <c r="P101" s="2497"/>
      <c r="Q101" s="2495">
        <v>10.1</v>
      </c>
      <c r="R101" s="2496"/>
      <c r="S101" s="2497"/>
      <c r="T101" s="2495">
        <v>10.1</v>
      </c>
      <c r="U101" s="2496"/>
      <c r="V101" s="2497"/>
      <c r="W101" s="2495">
        <v>10.1</v>
      </c>
      <c r="X101" s="2496"/>
      <c r="Y101" s="2497"/>
      <c r="Z101" s="2495">
        <v>10.1</v>
      </c>
      <c r="AA101" s="2496"/>
      <c r="AB101" s="2497"/>
      <c r="AC101" s="2495">
        <v>10.1</v>
      </c>
      <c r="AD101" s="2496"/>
      <c r="AE101" s="2497"/>
      <c r="AF101" s="2495">
        <v>10.1</v>
      </c>
      <c r="AG101" s="2496"/>
      <c r="AH101" s="2497"/>
      <c r="AI101" s="2495">
        <v>10.1</v>
      </c>
      <c r="AJ101" s="2496"/>
      <c r="AK101" s="2497"/>
      <c r="AL101" s="2495">
        <v>10.1</v>
      </c>
      <c r="AM101" s="2496"/>
      <c r="AN101" s="2497"/>
      <c r="AO101" s="2495">
        <v>10.1</v>
      </c>
      <c r="AP101" s="2496"/>
      <c r="AQ101" s="2497"/>
      <c r="AR101" s="284"/>
      <c r="AS101" s="393"/>
    </row>
    <row r="102" spans="1:46" ht="17.25" thickBot="1" x14ac:dyDescent="0.3">
      <c r="A102" s="2481"/>
      <c r="B102" s="2483"/>
      <c r="C102" s="2442"/>
      <c r="D102" s="2200"/>
      <c r="E102" s="2484"/>
      <c r="F102" s="2204" t="s">
        <v>200</v>
      </c>
      <c r="G102" s="2205"/>
      <c r="H102" s="2489">
        <v>6</v>
      </c>
      <c r="I102" s="2490"/>
      <c r="J102" s="2491"/>
      <c r="K102" s="2489">
        <v>6</v>
      </c>
      <c r="L102" s="2490"/>
      <c r="M102" s="2491"/>
      <c r="N102" s="2489">
        <v>6</v>
      </c>
      <c r="O102" s="2490"/>
      <c r="P102" s="2491"/>
      <c r="Q102" s="2489">
        <v>6</v>
      </c>
      <c r="R102" s="2490"/>
      <c r="S102" s="2491"/>
      <c r="T102" s="2489">
        <v>6</v>
      </c>
      <c r="U102" s="2490"/>
      <c r="V102" s="2491"/>
      <c r="W102" s="2489">
        <v>6</v>
      </c>
      <c r="X102" s="2490"/>
      <c r="Y102" s="2491"/>
      <c r="Z102" s="2489">
        <v>6</v>
      </c>
      <c r="AA102" s="2490"/>
      <c r="AB102" s="2491"/>
      <c r="AC102" s="2489">
        <v>6</v>
      </c>
      <c r="AD102" s="2490"/>
      <c r="AE102" s="2491"/>
      <c r="AF102" s="2489">
        <v>6</v>
      </c>
      <c r="AG102" s="2490"/>
      <c r="AH102" s="2491"/>
      <c r="AI102" s="2489">
        <v>6</v>
      </c>
      <c r="AJ102" s="2490"/>
      <c r="AK102" s="2491"/>
      <c r="AL102" s="2489">
        <v>6</v>
      </c>
      <c r="AM102" s="2490"/>
      <c r="AN102" s="2491"/>
      <c r="AO102" s="2489">
        <v>6</v>
      </c>
      <c r="AP102" s="2490"/>
      <c r="AQ102" s="2491"/>
      <c r="AR102" s="284"/>
      <c r="AS102" s="393"/>
    </row>
    <row r="103" spans="1:46" ht="17.25" thickBot="1" x14ac:dyDescent="0.3">
      <c r="A103" s="2200"/>
      <c r="B103" s="2201"/>
      <c r="C103" s="2443"/>
      <c r="D103" s="2492" t="s">
        <v>83</v>
      </c>
      <c r="E103" s="2493"/>
      <c r="F103" s="2463"/>
      <c r="G103" s="2515"/>
      <c r="H103" s="2504" t="s">
        <v>84</v>
      </c>
      <c r="I103" s="2505"/>
      <c r="J103" s="2506"/>
      <c r="K103" s="2504" t="s">
        <v>84</v>
      </c>
      <c r="L103" s="2505"/>
      <c r="M103" s="2506"/>
      <c r="N103" s="2504" t="s">
        <v>84</v>
      </c>
      <c r="O103" s="2505"/>
      <c r="P103" s="2506"/>
      <c r="Q103" s="2504" t="s">
        <v>84</v>
      </c>
      <c r="R103" s="2505"/>
      <c r="S103" s="2506"/>
      <c r="T103" s="2504" t="s">
        <v>84</v>
      </c>
      <c r="U103" s="2505"/>
      <c r="V103" s="2506"/>
      <c r="W103" s="2504" t="s">
        <v>84</v>
      </c>
      <c r="X103" s="2505"/>
      <c r="Y103" s="2506"/>
      <c r="Z103" s="2504" t="s">
        <v>84</v>
      </c>
      <c r="AA103" s="2505"/>
      <c r="AB103" s="2506"/>
      <c r="AC103" s="2504" t="s">
        <v>84</v>
      </c>
      <c r="AD103" s="2505"/>
      <c r="AE103" s="2506"/>
      <c r="AF103" s="2504" t="s">
        <v>84</v>
      </c>
      <c r="AG103" s="2505"/>
      <c r="AH103" s="2506"/>
      <c r="AI103" s="2504" t="s">
        <v>84</v>
      </c>
      <c r="AJ103" s="2505"/>
      <c r="AK103" s="2506"/>
      <c r="AL103" s="2504" t="s">
        <v>84</v>
      </c>
      <c r="AM103" s="2505"/>
      <c r="AN103" s="2506"/>
      <c r="AO103" s="2504" t="s">
        <v>84</v>
      </c>
      <c r="AP103" s="2505"/>
      <c r="AQ103" s="2506"/>
      <c r="AR103" s="284"/>
      <c r="AS103" s="393"/>
    </row>
    <row r="104" spans="1:46" ht="16.5" x14ac:dyDescent="0.25">
      <c r="A104" s="2507" t="s">
        <v>1</v>
      </c>
      <c r="B104" s="2199"/>
      <c r="C104" s="2441">
        <v>40</v>
      </c>
      <c r="D104" s="2509" t="s">
        <v>13</v>
      </c>
      <c r="E104" s="2510"/>
      <c r="F104" s="2202" t="s">
        <v>81</v>
      </c>
      <c r="G104" s="2203"/>
      <c r="H104" s="1817">
        <f>SQRT(I104^2+J104^2)*1000/(SQRT(3)*H108)</f>
        <v>54.126716657412885</v>
      </c>
      <c r="I104" s="1818">
        <v>11.028600000000001</v>
      </c>
      <c r="J104" s="1819">
        <v>1.6830000000000001</v>
      </c>
      <c r="K104" s="1817">
        <f>SQRT(L104^2+M104^2)*1000/(SQRT(3)*K108)</f>
        <v>53.720119896451706</v>
      </c>
      <c r="L104" s="1818">
        <v>10.9428</v>
      </c>
      <c r="M104" s="1819">
        <v>1.6896</v>
      </c>
      <c r="N104" s="1817">
        <f>SQRT(O104^2+P104^2)*1000/(SQRT(3)*N108)</f>
        <v>53.396624742873222</v>
      </c>
      <c r="O104" s="1818">
        <v>10.883400000000002</v>
      </c>
      <c r="P104" s="1819">
        <v>1.6368</v>
      </c>
      <c r="Q104" s="1817">
        <f>SQRT(R104^2+S104^2)*1000/(SQRT(3)*Q108)</f>
        <v>55.288807157314878</v>
      </c>
      <c r="R104" s="1818">
        <v>11.2728</v>
      </c>
      <c r="S104" s="1819">
        <v>1.6698</v>
      </c>
      <c r="T104" s="1817">
        <f>SQRT(U104^2+V104^2)*1000/(SQRT(3)*T108)</f>
        <v>55.723029467119197</v>
      </c>
      <c r="U104" s="1818">
        <v>11.365200000000002</v>
      </c>
      <c r="V104" s="1819">
        <v>1.6565999999999999</v>
      </c>
      <c r="W104" s="1817">
        <f>SQRT(X104^2+Y104^2)*1000/(SQRT(3)*W108)</f>
        <v>55.600925627043281</v>
      </c>
      <c r="X104" s="1818">
        <v>11.338799999999999</v>
      </c>
      <c r="Y104" s="1819">
        <v>1.6632</v>
      </c>
      <c r="Z104" s="1817">
        <f>SQRT(AA104^2+AB104^2)*1000/(SQRT(3)*Z108)</f>
        <v>55.917765843850816</v>
      </c>
      <c r="AA104" s="1818">
        <v>11.4048</v>
      </c>
      <c r="AB104" s="1819">
        <v>1.6632</v>
      </c>
      <c r="AC104" s="1817">
        <f>SQRT(AD104^2+AE104^2)*1000/(SQRT(3)*AC108)</f>
        <v>54.622603226851211</v>
      </c>
      <c r="AD104" s="1818">
        <v>11.140799999999999</v>
      </c>
      <c r="AE104" s="1819">
        <v>1.6235999999999999</v>
      </c>
      <c r="AF104" s="1817">
        <f>SQRT(AG104^2+AH104^2)*1000/(SQRT(3)*AF108)</f>
        <v>51.344644981939908</v>
      </c>
      <c r="AG104" s="1818">
        <v>10.467600000000001</v>
      </c>
      <c r="AH104" s="1819">
        <v>1.5575999999999999</v>
      </c>
      <c r="AI104" s="1817">
        <f>SQRT(AJ104^2+AK104^2)*1000/(SQRT(3)*AI108)</f>
        <v>47.977087427377917</v>
      </c>
      <c r="AJ104" s="1818">
        <v>9.7745999999999977</v>
      </c>
      <c r="AK104" s="1819">
        <v>1.4982</v>
      </c>
      <c r="AL104" s="1817">
        <f>SQRT(AM104^2+AN104^2)*1000/(SQRT(3)*AL108)</f>
        <v>44.530873408607619</v>
      </c>
      <c r="AM104" s="1818">
        <v>9.0617999999999999</v>
      </c>
      <c r="AN104" s="1819">
        <v>1.4585999999999999</v>
      </c>
      <c r="AO104" s="1817">
        <f>SQRT(AP104^2+AQ104^2)*1000/(SQRT(3)*AO108)</f>
        <v>40.629536374949673</v>
      </c>
      <c r="AP104" s="1818">
        <v>8.2565999999999988</v>
      </c>
      <c r="AQ104" s="1819">
        <v>1.3992</v>
      </c>
      <c r="AR104" s="284"/>
      <c r="AS104" s="393"/>
    </row>
    <row r="105" spans="1:46" ht="16.5" x14ac:dyDescent="0.25">
      <c r="A105" s="2508"/>
      <c r="B105" s="2483"/>
      <c r="C105" s="2442"/>
      <c r="D105" s="2511"/>
      <c r="E105" s="2512"/>
      <c r="F105" s="2487" t="s">
        <v>82</v>
      </c>
      <c r="G105" s="2488"/>
      <c r="H105" s="1820">
        <f>SQRT(I105^2+J105^2)*1000/(SQRT(3)*H109)</f>
        <v>269.28217708019542</v>
      </c>
      <c r="I105" s="1821">
        <v>4.7039999999999997</v>
      </c>
      <c r="J105" s="1822">
        <v>0.252</v>
      </c>
      <c r="K105" s="1820">
        <f>SQRT(L105^2+M105^2)*1000/(SQRT(3)*K109)</f>
        <v>266.54230345192468</v>
      </c>
      <c r="L105" s="1821">
        <v>4.6559999999999997</v>
      </c>
      <c r="M105" s="1822">
        <v>0.252</v>
      </c>
      <c r="N105" s="1820">
        <f>SQRT(O105^2+P105^2)*1000/(SQRT(3)*N109)</f>
        <v>267.30351934417007</v>
      </c>
      <c r="O105" s="1821">
        <v>4.6710000000000003</v>
      </c>
      <c r="P105" s="1822">
        <v>0.219</v>
      </c>
      <c r="Q105" s="1820">
        <f>SQRT(R105^2+S105^2)*1000/(SQRT(3)*Q109)</f>
        <v>278.63354656122681</v>
      </c>
      <c r="R105" s="1821">
        <v>4.8689999999999998</v>
      </c>
      <c r="S105" s="1822">
        <v>0.22800000000000001</v>
      </c>
      <c r="T105" s="1820">
        <f>SQRT(U105^2+V105^2)*1000/(SQRT(3)*T109)</f>
        <v>282.61441013022255</v>
      </c>
      <c r="U105" s="1821">
        <v>4.9379999999999997</v>
      </c>
      <c r="V105" s="1822">
        <v>0.24299999999999999</v>
      </c>
      <c r="W105" s="1820">
        <f>SQRT(X105^2+Y105^2)*1000/(SQRT(3)*W109)</f>
        <v>286.0484972348512</v>
      </c>
      <c r="X105" s="1821">
        <v>4.9980000000000002</v>
      </c>
      <c r="Y105" s="1822">
        <v>0.246</v>
      </c>
      <c r="Z105" s="1820">
        <f>SQRT(AA105^2+AB105^2)*1000/(SQRT(3)*Z109)</f>
        <v>290.15935573477481</v>
      </c>
      <c r="AA105" s="1821">
        <v>5.07</v>
      </c>
      <c r="AB105" s="1822">
        <v>0.246</v>
      </c>
      <c r="AC105" s="1820">
        <f>SQRT(AD105^2+AE105^2)*1000/(SQRT(3)*AC109)</f>
        <v>284.66982303409014</v>
      </c>
      <c r="AD105" s="1821">
        <v>4.9740000000000002</v>
      </c>
      <c r="AE105" s="1822">
        <v>0.24299999999999999</v>
      </c>
      <c r="AF105" s="1820">
        <f>SQRT(AG105^2+AH105^2)*1000/(SQRT(3)*AF109)</f>
        <v>269.61555917644023</v>
      </c>
      <c r="AG105" s="1821">
        <v>4.71</v>
      </c>
      <c r="AH105" s="1822">
        <v>0.249</v>
      </c>
      <c r="AI105" s="1820">
        <f>SQRT(AJ105^2+AK105^2)*1000/(SQRT(3)*AI109)</f>
        <v>248.3446026443541</v>
      </c>
      <c r="AJ105" s="1821">
        <v>4.3380000000000001</v>
      </c>
      <c r="AK105" s="1822">
        <v>0.23699999999999999</v>
      </c>
      <c r="AL105" s="1820">
        <f>SQRT(AM105^2+AN105^2)*1000/(SQRT(3)*AL109)</f>
        <v>223.98298071381706</v>
      </c>
      <c r="AM105" s="1821">
        <v>3.9119999999999999</v>
      </c>
      <c r="AN105" s="1822">
        <v>0.222</v>
      </c>
      <c r="AO105" s="1820">
        <f>SQRT(AP105^2+AQ105^2)*1000/(SQRT(3)*AO109)</f>
        <v>199.49328025223676</v>
      </c>
      <c r="AP105" s="1821">
        <v>3.4830000000000001</v>
      </c>
      <c r="AQ105" s="1822">
        <v>0.219</v>
      </c>
      <c r="AR105" s="284"/>
      <c r="AS105" s="393"/>
    </row>
    <row r="106" spans="1:46" ht="17.25" thickBot="1" x14ac:dyDescent="0.3">
      <c r="A106" s="2481"/>
      <c r="B106" s="2483"/>
      <c r="C106" s="2442"/>
      <c r="D106" s="2513"/>
      <c r="E106" s="2514"/>
      <c r="F106" s="2204" t="s">
        <v>200</v>
      </c>
      <c r="G106" s="2205"/>
      <c r="H106" s="1825">
        <f>SQRT(I106^2+J106^2)*1000/(SQRT(3)*H110)</f>
        <v>615.67611885904205</v>
      </c>
      <c r="I106" s="1826">
        <v>6.2969999999999997</v>
      </c>
      <c r="J106" s="1827">
        <v>1.1339999999999999</v>
      </c>
      <c r="K106" s="1825">
        <f>SQRT(L106^2+M106^2)*1000/(SQRT(3)*K110)</f>
        <v>612.80998958350324</v>
      </c>
      <c r="L106" s="1826">
        <v>6.2640000000000002</v>
      </c>
      <c r="M106" s="1827">
        <v>1.149</v>
      </c>
      <c r="N106" s="1825">
        <f>SQRT(O106^2+P106^2)*1000/(SQRT(3)*N110)</f>
        <v>605.52814412984424</v>
      </c>
      <c r="O106" s="1826">
        <v>6.1920000000000002</v>
      </c>
      <c r="P106" s="1827">
        <v>1.1220000000000001</v>
      </c>
      <c r="Q106" s="1825">
        <f>SQRT(R106^2+S106^2)*1000/(SQRT(3)*Q110)</f>
        <v>623.91692823110134</v>
      </c>
      <c r="R106" s="1826">
        <v>6.3840000000000003</v>
      </c>
      <c r="S106" s="1827">
        <v>1.1339999999999999</v>
      </c>
      <c r="T106" s="1825">
        <f>SQRT(U106^2+V106^2)*1000/(SQRT(3)*T110)</f>
        <v>625.45889819662284</v>
      </c>
      <c r="U106" s="1826">
        <v>6.4050000000000002</v>
      </c>
      <c r="V106" s="1827">
        <v>1.107</v>
      </c>
      <c r="W106" s="1825">
        <f>SQRT(X106^2+Y106^2)*1000/(SQRT(3)*W110)</f>
        <v>617.07704813364546</v>
      </c>
      <c r="X106" s="1826">
        <v>6.3150000000000004</v>
      </c>
      <c r="Y106" s="1827">
        <v>1.1160000000000001</v>
      </c>
      <c r="Z106" s="1825">
        <f>SQRT(AA106^2+AB106^2)*1000/(SQRT(3)*Z110)</f>
        <v>616.82750154858263</v>
      </c>
      <c r="AA106" s="1826">
        <v>6.3150000000000004</v>
      </c>
      <c r="AB106" s="1827">
        <v>1.101</v>
      </c>
      <c r="AC106" s="1825">
        <f>SQRT(AD106^2+AE106^2)*1000/(SQRT(3)*AC110)</f>
        <v>600.37127401855821</v>
      </c>
      <c r="AD106" s="1826">
        <v>6.1440000000000001</v>
      </c>
      <c r="AE106" s="1827">
        <v>1.0860000000000001</v>
      </c>
      <c r="AF106" s="1825">
        <f>SQRT(AG106^2+AH106^2)*1000/(SQRT(3)*AF110)</f>
        <v>560.4757651614683</v>
      </c>
      <c r="AG106" s="1826">
        <v>5.7270000000000003</v>
      </c>
      <c r="AH106" s="1827">
        <v>1.0620000000000001</v>
      </c>
      <c r="AI106" s="1825">
        <f>SQRT(AJ106^2+AK106^2)*1000/(SQRT(3)*AI110)</f>
        <v>530.81902126179807</v>
      </c>
      <c r="AJ106" s="1826">
        <v>5.415</v>
      </c>
      <c r="AK106" s="1827">
        <v>1.0529999999999999</v>
      </c>
      <c r="AL106" s="1825">
        <f>SQRT(AM106^2+AN106^2)*1000/(SQRT(3)*AL110)</f>
        <v>503.41897726115434</v>
      </c>
      <c r="AM106" s="1826">
        <v>5.1239999999999997</v>
      </c>
      <c r="AN106" s="1827">
        <v>1.056</v>
      </c>
      <c r="AO106" s="1825">
        <f>SQRT(AP106^2+AQ106^2)*1000/(SQRT(3)*AO110)</f>
        <v>468.32511855191655</v>
      </c>
      <c r="AP106" s="1826">
        <v>4.7549999999999999</v>
      </c>
      <c r="AQ106" s="1827">
        <v>1.038</v>
      </c>
      <c r="AR106" s="284"/>
      <c r="AS106" s="393"/>
    </row>
    <row r="107" spans="1:46" ht="17.25" thickBot="1" x14ac:dyDescent="0.3">
      <c r="A107" s="2481"/>
      <c r="B107" s="2483"/>
      <c r="C107" s="2442"/>
      <c r="D107" s="2492" t="s">
        <v>39</v>
      </c>
      <c r="E107" s="2493"/>
      <c r="F107" s="2493"/>
      <c r="G107" s="2494"/>
      <c r="H107" s="2501">
        <v>6</v>
      </c>
      <c r="I107" s="2502"/>
      <c r="J107" s="2503"/>
      <c r="K107" s="2501">
        <v>6</v>
      </c>
      <c r="L107" s="2502"/>
      <c r="M107" s="2503"/>
      <c r="N107" s="2501">
        <v>6</v>
      </c>
      <c r="O107" s="2502"/>
      <c r="P107" s="2503"/>
      <c r="Q107" s="2501">
        <v>6</v>
      </c>
      <c r="R107" s="2502"/>
      <c r="S107" s="2503"/>
      <c r="T107" s="2501">
        <v>6</v>
      </c>
      <c r="U107" s="2502"/>
      <c r="V107" s="2503"/>
      <c r="W107" s="2501">
        <v>6</v>
      </c>
      <c r="X107" s="2502"/>
      <c r="Y107" s="2503"/>
      <c r="Z107" s="2501">
        <v>6</v>
      </c>
      <c r="AA107" s="2502"/>
      <c r="AB107" s="2503"/>
      <c r="AC107" s="2501">
        <v>6</v>
      </c>
      <c r="AD107" s="2502"/>
      <c r="AE107" s="2503"/>
      <c r="AF107" s="2501">
        <v>6</v>
      </c>
      <c r="AG107" s="2502"/>
      <c r="AH107" s="2503"/>
      <c r="AI107" s="2501">
        <v>6</v>
      </c>
      <c r="AJ107" s="2502"/>
      <c r="AK107" s="2503"/>
      <c r="AL107" s="2501">
        <v>6</v>
      </c>
      <c r="AM107" s="2502"/>
      <c r="AN107" s="2503"/>
      <c r="AO107" s="2501">
        <v>6</v>
      </c>
      <c r="AP107" s="2502"/>
      <c r="AQ107" s="2503"/>
      <c r="AR107" s="284"/>
      <c r="AS107" s="393"/>
    </row>
    <row r="108" spans="1:46" ht="16.5" x14ac:dyDescent="0.25">
      <c r="A108" s="2481"/>
      <c r="B108" s="2483"/>
      <c r="C108" s="2442"/>
      <c r="D108" s="2198" t="s">
        <v>14</v>
      </c>
      <c r="E108" s="2480"/>
      <c r="F108" s="2202" t="s">
        <v>81</v>
      </c>
      <c r="G108" s="2203"/>
      <c r="H108" s="2498">
        <v>119</v>
      </c>
      <c r="I108" s="2499"/>
      <c r="J108" s="2500"/>
      <c r="K108" s="2498">
        <v>119</v>
      </c>
      <c r="L108" s="2499"/>
      <c r="M108" s="2500"/>
      <c r="N108" s="2498">
        <v>119</v>
      </c>
      <c r="O108" s="2499"/>
      <c r="P108" s="2500"/>
      <c r="Q108" s="2498">
        <v>119</v>
      </c>
      <c r="R108" s="2499"/>
      <c r="S108" s="2500"/>
      <c r="T108" s="2498">
        <v>119</v>
      </c>
      <c r="U108" s="2499"/>
      <c r="V108" s="2500"/>
      <c r="W108" s="2498">
        <v>119</v>
      </c>
      <c r="X108" s="2499"/>
      <c r="Y108" s="2500"/>
      <c r="Z108" s="2498">
        <v>119</v>
      </c>
      <c r="AA108" s="2499"/>
      <c r="AB108" s="2500"/>
      <c r="AC108" s="2498">
        <v>119</v>
      </c>
      <c r="AD108" s="2499"/>
      <c r="AE108" s="2500"/>
      <c r="AF108" s="2498">
        <v>119</v>
      </c>
      <c r="AG108" s="2499"/>
      <c r="AH108" s="2500"/>
      <c r="AI108" s="2498">
        <v>119</v>
      </c>
      <c r="AJ108" s="2499"/>
      <c r="AK108" s="2500"/>
      <c r="AL108" s="2498">
        <v>119</v>
      </c>
      <c r="AM108" s="2499"/>
      <c r="AN108" s="2500"/>
      <c r="AO108" s="2498">
        <v>119</v>
      </c>
      <c r="AP108" s="2499"/>
      <c r="AQ108" s="2500"/>
      <c r="AR108" s="284"/>
      <c r="AS108" s="393"/>
    </row>
    <row r="109" spans="1:46" ht="16.5" x14ac:dyDescent="0.25">
      <c r="A109" s="2481"/>
      <c r="B109" s="2483"/>
      <c r="C109" s="2442"/>
      <c r="D109" s="2481"/>
      <c r="E109" s="2482"/>
      <c r="F109" s="2487" t="s">
        <v>82</v>
      </c>
      <c r="G109" s="2488"/>
      <c r="H109" s="2495">
        <v>10.1</v>
      </c>
      <c r="I109" s="2496"/>
      <c r="J109" s="2497"/>
      <c r="K109" s="2495">
        <v>10.1</v>
      </c>
      <c r="L109" s="2496"/>
      <c r="M109" s="2497"/>
      <c r="N109" s="2495">
        <v>10.1</v>
      </c>
      <c r="O109" s="2496"/>
      <c r="P109" s="2497"/>
      <c r="Q109" s="2495">
        <v>10.1</v>
      </c>
      <c r="R109" s="2496"/>
      <c r="S109" s="2497"/>
      <c r="T109" s="2495">
        <v>10.1</v>
      </c>
      <c r="U109" s="2496"/>
      <c r="V109" s="2497"/>
      <c r="W109" s="2495">
        <v>10.1</v>
      </c>
      <c r="X109" s="2496"/>
      <c r="Y109" s="2497"/>
      <c r="Z109" s="2495">
        <v>10.1</v>
      </c>
      <c r="AA109" s="2496"/>
      <c r="AB109" s="2497"/>
      <c r="AC109" s="2495">
        <v>10.1</v>
      </c>
      <c r="AD109" s="2496"/>
      <c r="AE109" s="2497"/>
      <c r="AF109" s="2495">
        <v>10.1</v>
      </c>
      <c r="AG109" s="2496"/>
      <c r="AH109" s="2497"/>
      <c r="AI109" s="2495">
        <v>10.1</v>
      </c>
      <c r="AJ109" s="2496"/>
      <c r="AK109" s="2497"/>
      <c r="AL109" s="2495">
        <v>10.1</v>
      </c>
      <c r="AM109" s="2496"/>
      <c r="AN109" s="2497"/>
      <c r="AO109" s="2495">
        <v>10.1</v>
      </c>
      <c r="AP109" s="2496"/>
      <c r="AQ109" s="2497"/>
      <c r="AR109" s="284"/>
      <c r="AS109" s="393"/>
    </row>
    <row r="110" spans="1:46" ht="17.25" thickBot="1" x14ac:dyDescent="0.3">
      <c r="A110" s="2481"/>
      <c r="B110" s="2483"/>
      <c r="C110" s="2442"/>
      <c r="D110" s="2200"/>
      <c r="E110" s="2484"/>
      <c r="F110" s="2204" t="s">
        <v>200</v>
      </c>
      <c r="G110" s="2205"/>
      <c r="H110" s="2489">
        <v>6</v>
      </c>
      <c r="I110" s="2490"/>
      <c r="J110" s="2491"/>
      <c r="K110" s="2489">
        <v>6</v>
      </c>
      <c r="L110" s="2490"/>
      <c r="M110" s="2491"/>
      <c r="N110" s="2489">
        <v>6</v>
      </c>
      <c r="O110" s="2490"/>
      <c r="P110" s="2491"/>
      <c r="Q110" s="2489">
        <v>6</v>
      </c>
      <c r="R110" s="2490"/>
      <c r="S110" s="2491"/>
      <c r="T110" s="2489">
        <v>6</v>
      </c>
      <c r="U110" s="2490"/>
      <c r="V110" s="2491"/>
      <c r="W110" s="2489">
        <v>6</v>
      </c>
      <c r="X110" s="2490"/>
      <c r="Y110" s="2491"/>
      <c r="Z110" s="2489">
        <v>6</v>
      </c>
      <c r="AA110" s="2490"/>
      <c r="AB110" s="2491"/>
      <c r="AC110" s="2489">
        <v>6</v>
      </c>
      <c r="AD110" s="2490"/>
      <c r="AE110" s="2491"/>
      <c r="AF110" s="2489">
        <v>6</v>
      </c>
      <c r="AG110" s="2490"/>
      <c r="AH110" s="2491"/>
      <c r="AI110" s="2489">
        <v>6</v>
      </c>
      <c r="AJ110" s="2490"/>
      <c r="AK110" s="2491"/>
      <c r="AL110" s="2489">
        <v>6</v>
      </c>
      <c r="AM110" s="2490"/>
      <c r="AN110" s="2491"/>
      <c r="AO110" s="2489">
        <v>6</v>
      </c>
      <c r="AP110" s="2490"/>
      <c r="AQ110" s="2491"/>
      <c r="AR110" s="284"/>
      <c r="AS110" s="393"/>
    </row>
    <row r="111" spans="1:46" ht="17.25" thickBot="1" x14ac:dyDescent="0.3">
      <c r="A111" s="2200"/>
      <c r="B111" s="2201"/>
      <c r="C111" s="2443"/>
      <c r="D111" s="2492" t="s">
        <v>83</v>
      </c>
      <c r="E111" s="2493"/>
      <c r="F111" s="2493"/>
      <c r="G111" s="2494"/>
      <c r="H111" s="2477" t="s">
        <v>84</v>
      </c>
      <c r="I111" s="2478"/>
      <c r="J111" s="2479"/>
      <c r="K111" s="2477" t="s">
        <v>84</v>
      </c>
      <c r="L111" s="2478"/>
      <c r="M111" s="2479"/>
      <c r="N111" s="2477" t="s">
        <v>84</v>
      </c>
      <c r="O111" s="2478"/>
      <c r="P111" s="2479"/>
      <c r="Q111" s="2477" t="s">
        <v>84</v>
      </c>
      <c r="R111" s="2478"/>
      <c r="S111" s="2479"/>
      <c r="T111" s="2477" t="s">
        <v>84</v>
      </c>
      <c r="U111" s="2478"/>
      <c r="V111" s="2479"/>
      <c r="W111" s="2477" t="s">
        <v>84</v>
      </c>
      <c r="X111" s="2478"/>
      <c r="Y111" s="2479"/>
      <c r="Z111" s="2477" t="s">
        <v>84</v>
      </c>
      <c r="AA111" s="2478"/>
      <c r="AB111" s="2479"/>
      <c r="AC111" s="2477" t="s">
        <v>84</v>
      </c>
      <c r="AD111" s="2478"/>
      <c r="AE111" s="2479"/>
      <c r="AF111" s="2477" t="s">
        <v>84</v>
      </c>
      <c r="AG111" s="2478"/>
      <c r="AH111" s="2479"/>
      <c r="AI111" s="2477" t="s">
        <v>84</v>
      </c>
      <c r="AJ111" s="2478"/>
      <c r="AK111" s="2479"/>
      <c r="AL111" s="2477" t="s">
        <v>84</v>
      </c>
      <c r="AM111" s="2478"/>
      <c r="AN111" s="2479"/>
      <c r="AO111" s="2477" t="s">
        <v>84</v>
      </c>
      <c r="AP111" s="2478"/>
      <c r="AQ111" s="2479"/>
      <c r="AR111" s="284"/>
      <c r="AS111" s="393"/>
    </row>
    <row r="112" spans="1:46" ht="16.5" x14ac:dyDescent="0.25">
      <c r="A112" s="2198" t="s">
        <v>86</v>
      </c>
      <c r="B112" s="2480"/>
      <c r="C112" s="2199"/>
      <c r="D112" s="2448"/>
      <c r="E112" s="2450"/>
      <c r="F112" s="2202" t="s">
        <v>81</v>
      </c>
      <c r="G112" s="2203"/>
      <c r="H112" s="1817">
        <f t="shared" ref="H112:AQ114" si="7">H104+H96</f>
        <v>100.51049269768644</v>
      </c>
      <c r="I112" s="1828">
        <f t="shared" si="7"/>
        <v>20.4666</v>
      </c>
      <c r="J112" s="1829">
        <f t="shared" si="7"/>
        <v>3.2076000000000002</v>
      </c>
      <c r="K112" s="1817">
        <f t="shared" si="7"/>
        <v>100.42511963108237</v>
      </c>
      <c r="L112" s="1828">
        <f t="shared" si="7"/>
        <v>20.4468</v>
      </c>
      <c r="M112" s="1829">
        <f t="shared" si="7"/>
        <v>3.2208000000000001</v>
      </c>
      <c r="N112" s="1817">
        <f t="shared" si="7"/>
        <v>100.66972510594002</v>
      </c>
      <c r="O112" s="1828">
        <f t="shared" si="7"/>
        <v>20.499600000000001</v>
      </c>
      <c r="P112" s="1829">
        <f t="shared" si="7"/>
        <v>3.2076000000000002</v>
      </c>
      <c r="Q112" s="1817">
        <f t="shared" si="7"/>
        <v>103.7948135179835</v>
      </c>
      <c r="R112" s="1828">
        <f t="shared" si="7"/>
        <v>21.1464</v>
      </c>
      <c r="S112" s="1829">
        <f t="shared" si="7"/>
        <v>3.2406000000000001</v>
      </c>
      <c r="T112" s="1817">
        <f t="shared" si="7"/>
        <v>103.97773334745227</v>
      </c>
      <c r="U112" s="1828">
        <f t="shared" si="7"/>
        <v>21.192600000000002</v>
      </c>
      <c r="V112" s="1829">
        <f t="shared" si="7"/>
        <v>3.1878000000000002</v>
      </c>
      <c r="W112" s="1817">
        <f t="shared" si="7"/>
        <v>103.42953860289236</v>
      </c>
      <c r="X112" s="1828">
        <f t="shared" si="7"/>
        <v>21.080399999999997</v>
      </c>
      <c r="Y112" s="1829">
        <f t="shared" si="7"/>
        <v>3.1745999999999999</v>
      </c>
      <c r="Z112" s="1817">
        <f t="shared" si="7"/>
        <v>103.4402393963708</v>
      </c>
      <c r="AA112" s="1828">
        <f t="shared" si="7"/>
        <v>21.093599999999999</v>
      </c>
      <c r="AB112" s="1829">
        <f t="shared" si="7"/>
        <v>3.1019999999999999</v>
      </c>
      <c r="AC112" s="1817">
        <f t="shared" si="7"/>
        <v>100.46041298400581</v>
      </c>
      <c r="AD112" s="1828">
        <f t="shared" si="7"/>
        <v>20.486399999999996</v>
      </c>
      <c r="AE112" s="1829">
        <f t="shared" si="7"/>
        <v>3.0095999999999998</v>
      </c>
      <c r="AF112" s="1817">
        <f t="shared" si="7"/>
        <v>94.869151859812035</v>
      </c>
      <c r="AG112" s="1828">
        <f t="shared" si="7"/>
        <v>19.338000000000001</v>
      </c>
      <c r="AH112" s="1829">
        <f t="shared" si="7"/>
        <v>2.8973999999999998</v>
      </c>
      <c r="AI112" s="1817">
        <f t="shared" si="7"/>
        <v>88.823784825937167</v>
      </c>
      <c r="AJ112" s="1828">
        <f t="shared" si="7"/>
        <v>18.090599999999998</v>
      </c>
      <c r="AK112" s="1829">
        <f t="shared" si="7"/>
        <v>2.8116000000000003</v>
      </c>
      <c r="AL112" s="1817">
        <f t="shared" si="7"/>
        <v>81.93329506014426</v>
      </c>
      <c r="AM112" s="1828">
        <f t="shared" si="7"/>
        <v>16.664999999999999</v>
      </c>
      <c r="AN112" s="1829">
        <f t="shared" si="7"/>
        <v>2.7324000000000002</v>
      </c>
      <c r="AO112" s="1817">
        <f t="shared" si="7"/>
        <v>73.821727230480533</v>
      </c>
      <c r="AP112" s="1828">
        <f t="shared" si="7"/>
        <v>14.995199999999999</v>
      </c>
      <c r="AQ112" s="1829">
        <f t="shared" si="7"/>
        <v>2.5806</v>
      </c>
      <c r="AR112" s="284"/>
      <c r="AS112" s="393"/>
    </row>
    <row r="113" spans="1:48" ht="16.5" x14ac:dyDescent="0.25">
      <c r="A113" s="2481"/>
      <c r="B113" s="2482"/>
      <c r="C113" s="2483"/>
      <c r="D113" s="2485"/>
      <c r="E113" s="2486"/>
      <c r="F113" s="2487" t="s">
        <v>82</v>
      </c>
      <c r="G113" s="2488"/>
      <c r="H113" s="1820">
        <f t="shared" si="7"/>
        <v>536.23780508382356</v>
      </c>
      <c r="I113" s="1830">
        <f t="shared" si="7"/>
        <v>9.3629999999999995</v>
      </c>
      <c r="J113" s="1831">
        <f t="shared" si="7"/>
        <v>0.57299999999999995</v>
      </c>
      <c r="K113" s="1820">
        <f t="shared" si="7"/>
        <v>538.31187519872367</v>
      </c>
      <c r="L113" s="1830">
        <f t="shared" si="7"/>
        <v>9.3990000000000009</v>
      </c>
      <c r="M113" s="1831">
        <f t="shared" si="7"/>
        <v>0.57899999999999996</v>
      </c>
      <c r="N113" s="1820">
        <f t="shared" si="7"/>
        <v>538.18266620617169</v>
      </c>
      <c r="O113" s="1830">
        <f t="shared" si="7"/>
        <v>9.3990000000000009</v>
      </c>
      <c r="P113" s="1831">
        <f t="shared" si="7"/>
        <v>0.53700000000000003</v>
      </c>
      <c r="Q113" s="1820">
        <f t="shared" si="7"/>
        <v>560.12202092542236</v>
      </c>
      <c r="R113" s="1830">
        <f t="shared" si="7"/>
        <v>9.7829999999999995</v>
      </c>
      <c r="S113" s="1831">
        <f t="shared" si="7"/>
        <v>0.54600000000000004</v>
      </c>
      <c r="T113" s="1820">
        <f t="shared" si="7"/>
        <v>567.03432292715081</v>
      </c>
      <c r="U113" s="1830">
        <f t="shared" si="7"/>
        <v>9.9029999999999987</v>
      </c>
      <c r="V113" s="1831">
        <f t="shared" si="7"/>
        <v>0.56699999999999995</v>
      </c>
      <c r="W113" s="1820">
        <f t="shared" si="7"/>
        <v>576.84487459363413</v>
      </c>
      <c r="X113" s="1830">
        <f t="shared" si="7"/>
        <v>10.074</v>
      </c>
      <c r="Y113" s="1831">
        <f t="shared" si="7"/>
        <v>0.58200000000000007</v>
      </c>
      <c r="Z113" s="1820">
        <f t="shared" si="7"/>
        <v>580.31349167914993</v>
      </c>
      <c r="AA113" s="1830">
        <f t="shared" si="7"/>
        <v>10.137</v>
      </c>
      <c r="AB113" s="1831">
        <f t="shared" si="7"/>
        <v>0.54600000000000004</v>
      </c>
      <c r="AC113" s="1820">
        <f t="shared" si="7"/>
        <v>566.12554216445892</v>
      </c>
      <c r="AD113" s="1830">
        <f t="shared" si="7"/>
        <v>9.8879999999999999</v>
      </c>
      <c r="AE113" s="1831">
        <f t="shared" si="7"/>
        <v>0.55200000000000005</v>
      </c>
      <c r="AF113" s="1820">
        <f t="shared" si="7"/>
        <v>531.81619161244009</v>
      </c>
      <c r="AG113" s="1830">
        <f t="shared" si="7"/>
        <v>9.2880000000000003</v>
      </c>
      <c r="AH113" s="1831">
        <f t="shared" si="7"/>
        <v>0.53400000000000003</v>
      </c>
      <c r="AI113" s="1820">
        <f t="shared" si="7"/>
        <v>490.70555149238339</v>
      </c>
      <c r="AJ113" s="1830">
        <f t="shared" si="7"/>
        <v>8.5680000000000014</v>
      </c>
      <c r="AK113" s="1831">
        <f t="shared" si="7"/>
        <v>0.52499999999999991</v>
      </c>
      <c r="AL113" s="1820">
        <f t="shared" si="7"/>
        <v>440.68686275770858</v>
      </c>
      <c r="AM113" s="1830">
        <f t="shared" si="7"/>
        <v>7.6920000000000002</v>
      </c>
      <c r="AN113" s="1831">
        <f t="shared" si="7"/>
        <v>0.51</v>
      </c>
      <c r="AO113" s="1820">
        <f t="shared" si="7"/>
        <v>380.64609291365701</v>
      </c>
      <c r="AP113" s="1830">
        <f t="shared" si="7"/>
        <v>6.6419999999999995</v>
      </c>
      <c r="AQ113" s="1831">
        <f t="shared" si="7"/>
        <v>0.47099999999999997</v>
      </c>
      <c r="AR113" s="284"/>
      <c r="AS113" s="393"/>
    </row>
    <row r="114" spans="1:48" ht="17.25" thickBot="1" x14ac:dyDescent="0.3">
      <c r="A114" s="2200"/>
      <c r="B114" s="2484"/>
      <c r="C114" s="2201"/>
      <c r="D114" s="2451"/>
      <c r="E114" s="2453"/>
      <c r="F114" s="2204" t="s">
        <v>200</v>
      </c>
      <c r="G114" s="2205"/>
      <c r="H114" s="1825">
        <f t="shared" si="7"/>
        <v>1082.9791968145234</v>
      </c>
      <c r="I114" s="1832">
        <f t="shared" si="7"/>
        <v>11.052</v>
      </c>
      <c r="J114" s="1833">
        <f t="shared" si="7"/>
        <v>2.121</v>
      </c>
      <c r="K114" s="1825">
        <f t="shared" si="7"/>
        <v>1079.0895909673368</v>
      </c>
      <c r="L114" s="1832">
        <f t="shared" si="7"/>
        <v>11.010000000000002</v>
      </c>
      <c r="M114" s="1833">
        <f t="shared" si="7"/>
        <v>2.1269999999999998</v>
      </c>
      <c r="N114" s="1825">
        <f t="shared" si="7"/>
        <v>1084.6788685023182</v>
      </c>
      <c r="O114" s="1832">
        <f t="shared" si="7"/>
        <v>11.064</v>
      </c>
      <c r="P114" s="1833">
        <f t="shared" si="7"/>
        <v>2.1509999999999998</v>
      </c>
      <c r="Q114" s="1825">
        <f t="shared" si="7"/>
        <v>1108.7662175296764</v>
      </c>
      <c r="R114" s="1832">
        <f t="shared" si="7"/>
        <v>11.318999999999999</v>
      </c>
      <c r="S114" s="1833">
        <f t="shared" si="7"/>
        <v>2.1509999999999998</v>
      </c>
      <c r="T114" s="1825">
        <f t="shared" si="7"/>
        <v>1101.5276082235123</v>
      </c>
      <c r="U114" s="1832">
        <f t="shared" si="7"/>
        <v>11.253</v>
      </c>
      <c r="V114" s="1833">
        <f t="shared" si="7"/>
        <v>2.0939999999999999</v>
      </c>
      <c r="W114" s="1825">
        <f t="shared" si="7"/>
        <v>1072.9368584554884</v>
      </c>
      <c r="X114" s="1832">
        <f t="shared" si="7"/>
        <v>10.956</v>
      </c>
      <c r="Y114" s="1833">
        <f t="shared" si="7"/>
        <v>2.0670000000000002</v>
      </c>
      <c r="Z114" s="1825">
        <f t="shared" si="7"/>
        <v>1068.2099151773518</v>
      </c>
      <c r="AA114" s="1832">
        <f t="shared" si="7"/>
        <v>10.914000000000001</v>
      </c>
      <c r="AB114" s="1833">
        <f t="shared" si="7"/>
        <v>2.0249999999999999</v>
      </c>
      <c r="AC114" s="1825">
        <f t="shared" si="7"/>
        <v>1033.5809999789371</v>
      </c>
      <c r="AD114" s="1832">
        <f t="shared" si="7"/>
        <v>10.56</v>
      </c>
      <c r="AE114" s="1833">
        <f t="shared" si="7"/>
        <v>1.9620000000000002</v>
      </c>
      <c r="AF114" s="1825">
        <f t="shared" si="7"/>
        <v>980.50165722051747</v>
      </c>
      <c r="AG114" s="1832">
        <f t="shared" si="7"/>
        <v>10.002000000000001</v>
      </c>
      <c r="AH114" s="1833">
        <f t="shared" si="7"/>
        <v>1.944</v>
      </c>
      <c r="AI114" s="1825">
        <f t="shared" si="7"/>
        <v>930.42924802449409</v>
      </c>
      <c r="AJ114" s="1832">
        <f t="shared" si="7"/>
        <v>9.4770000000000003</v>
      </c>
      <c r="AK114" s="1833">
        <f t="shared" si="7"/>
        <v>1.9169999999999998</v>
      </c>
      <c r="AL114" s="1825">
        <f t="shared" si="7"/>
        <v>878.80955164113698</v>
      </c>
      <c r="AM114" s="1832">
        <f t="shared" si="7"/>
        <v>8.9309999999999992</v>
      </c>
      <c r="AN114" s="1833">
        <f t="shared" si="7"/>
        <v>1.9079999999999999</v>
      </c>
      <c r="AO114" s="1825">
        <f t="shared" si="7"/>
        <v>820.10582675898502</v>
      </c>
      <c r="AP114" s="1832">
        <f t="shared" si="7"/>
        <v>8.3129999999999988</v>
      </c>
      <c r="AQ114" s="1833">
        <f t="shared" si="7"/>
        <v>1.8780000000000001</v>
      </c>
      <c r="AR114" s="284"/>
      <c r="AS114" s="393"/>
    </row>
    <row r="115" spans="1:48" ht="22.5" customHeight="1" x14ac:dyDescent="0.25">
      <c r="A115" s="1834"/>
      <c r="B115" s="2001"/>
      <c r="C115" s="1836"/>
      <c r="D115" s="1837"/>
      <c r="E115" s="2469"/>
      <c r="F115" s="2469"/>
      <c r="G115" s="1839"/>
      <c r="H115" s="1840"/>
      <c r="I115" s="1841"/>
      <c r="J115" s="1841"/>
      <c r="K115" s="1841"/>
      <c r="L115" s="1841"/>
      <c r="M115" s="1841"/>
      <c r="N115" s="1841"/>
      <c r="O115" s="1841"/>
      <c r="P115" s="1841"/>
      <c r="Q115" s="1841"/>
      <c r="R115" s="1841"/>
      <c r="S115" s="1841"/>
      <c r="T115" s="1841"/>
      <c r="U115" s="1841"/>
      <c r="V115" s="1841"/>
      <c r="W115" s="1841"/>
      <c r="X115" s="1841"/>
      <c r="Y115" s="1841"/>
      <c r="Z115" s="1841"/>
      <c r="AA115" s="1841"/>
      <c r="AB115" s="1841"/>
      <c r="AC115" s="1841"/>
      <c r="AD115" s="1841"/>
      <c r="AE115" s="1841"/>
      <c r="AF115" s="1841"/>
      <c r="AG115" s="1841"/>
      <c r="AH115" s="1841"/>
      <c r="AI115" s="1841"/>
      <c r="AJ115" s="1841"/>
      <c r="AK115" s="1841"/>
      <c r="AL115" s="1841"/>
      <c r="AM115" s="1841"/>
      <c r="AN115" s="1841"/>
      <c r="AO115" s="1841"/>
      <c r="AP115" s="1841"/>
      <c r="AQ115" s="2002"/>
      <c r="AR115" s="284"/>
      <c r="AS115" s="393"/>
    </row>
    <row r="116" spans="1:48" ht="21.75" customHeight="1" x14ac:dyDescent="0.25">
      <c r="A116" s="1842"/>
      <c r="B116" s="2003"/>
      <c r="C116" s="1844"/>
      <c r="D116" s="1845"/>
      <c r="E116" s="2470"/>
      <c r="F116" s="2470"/>
      <c r="G116" s="1847"/>
      <c r="H116" s="1848"/>
      <c r="I116" s="1849"/>
      <c r="J116" s="1849"/>
      <c r="K116" s="1849"/>
      <c r="L116" s="1849"/>
      <c r="M116" s="1849"/>
      <c r="N116" s="1849"/>
      <c r="O116" s="1849"/>
      <c r="P116" s="1849"/>
      <c r="Q116" s="1849"/>
      <c r="R116" s="1849"/>
      <c r="S116" s="1849"/>
      <c r="T116" s="1849"/>
      <c r="U116" s="1849"/>
      <c r="V116" s="1849"/>
      <c r="W116" s="1849"/>
      <c r="X116" s="1849"/>
      <c r="Y116" s="1849"/>
      <c r="Z116" s="1849"/>
      <c r="AA116" s="1849"/>
      <c r="AB116" s="1849"/>
      <c r="AC116" s="1849"/>
      <c r="AD116" s="1849"/>
      <c r="AE116" s="1849"/>
      <c r="AF116" s="1849"/>
      <c r="AG116" s="1849"/>
      <c r="AH116" s="1849"/>
      <c r="AI116" s="1849"/>
      <c r="AJ116" s="1849"/>
      <c r="AK116" s="1849"/>
      <c r="AL116" s="1849"/>
      <c r="AM116" s="1849"/>
      <c r="AN116" s="1849"/>
      <c r="AO116" s="1849"/>
      <c r="AP116" s="1849"/>
      <c r="AQ116" s="1850"/>
      <c r="AR116" s="284"/>
      <c r="AS116" s="393"/>
    </row>
    <row r="117" spans="1:48" ht="21.75" customHeight="1" thickBot="1" x14ac:dyDescent="0.3">
      <c r="A117" s="1851"/>
      <c r="B117" s="1964"/>
      <c r="C117" s="1853"/>
      <c r="D117" s="1854"/>
      <c r="E117" s="2471"/>
      <c r="F117" s="2471"/>
      <c r="G117" s="1856"/>
      <c r="H117" s="1857"/>
      <c r="I117" s="1804"/>
      <c r="J117" s="1804"/>
      <c r="K117" s="1804"/>
      <c r="L117" s="1804"/>
      <c r="M117" s="1804"/>
      <c r="N117" s="1804"/>
      <c r="O117" s="1804"/>
      <c r="P117" s="1804"/>
      <c r="Q117" s="1804"/>
      <c r="R117" s="1804"/>
      <c r="S117" s="1804"/>
      <c r="T117" s="1804"/>
      <c r="U117" s="1804"/>
      <c r="V117" s="1804"/>
      <c r="W117" s="1804"/>
      <c r="X117" s="1804"/>
      <c r="Y117" s="1804"/>
      <c r="Z117" s="1804"/>
      <c r="AA117" s="1804"/>
      <c r="AB117" s="1804"/>
      <c r="AC117" s="1804"/>
      <c r="AD117" s="1804"/>
      <c r="AE117" s="1804"/>
      <c r="AF117" s="1804"/>
      <c r="AG117" s="1804"/>
      <c r="AH117" s="1804"/>
      <c r="AI117" s="1804"/>
      <c r="AJ117" s="1804"/>
      <c r="AK117" s="1804"/>
      <c r="AL117" s="1804"/>
      <c r="AM117" s="1804"/>
      <c r="AN117" s="1804"/>
      <c r="AO117" s="1804"/>
      <c r="AP117" s="1804"/>
      <c r="AQ117" s="2004"/>
      <c r="AR117" s="284"/>
      <c r="AS117" s="393"/>
    </row>
    <row r="118" spans="1:48" ht="22.5" customHeight="1" thickBot="1" x14ac:dyDescent="0.3">
      <c r="A118" s="1858"/>
      <c r="B118" s="1859"/>
      <c r="C118" s="1859"/>
      <c r="D118" s="1860"/>
      <c r="E118" s="1861"/>
      <c r="F118" s="1860"/>
      <c r="G118" s="1861"/>
      <c r="H118" s="1862"/>
      <c r="I118" s="1860"/>
      <c r="J118" s="1860"/>
      <c r="K118" s="1862"/>
      <c r="L118" s="1860"/>
      <c r="M118" s="1860"/>
      <c r="N118" s="1862"/>
      <c r="O118" s="1860"/>
      <c r="P118" s="1860"/>
      <c r="Q118" s="1862"/>
      <c r="R118" s="1860"/>
      <c r="S118" s="1860"/>
      <c r="T118" s="1862"/>
      <c r="U118" s="1860"/>
      <c r="V118" s="1860"/>
      <c r="W118" s="1862"/>
      <c r="X118" s="1860"/>
      <c r="Y118" s="1860"/>
      <c r="Z118" s="1862"/>
      <c r="AA118" s="1860"/>
      <c r="AB118" s="1860"/>
      <c r="AC118" s="1862"/>
      <c r="AD118" s="1860"/>
      <c r="AE118" s="1860"/>
      <c r="AF118" s="1862"/>
      <c r="AG118" s="1860"/>
      <c r="AH118" s="1860"/>
      <c r="AI118" s="1862"/>
      <c r="AJ118" s="1860"/>
      <c r="AK118" s="1860"/>
      <c r="AL118" s="1862"/>
      <c r="AM118" s="1860"/>
      <c r="AN118" s="1860"/>
      <c r="AO118" s="1862"/>
      <c r="AP118" s="1860"/>
      <c r="AQ118" s="1860"/>
      <c r="AR118" s="284"/>
      <c r="AS118" s="393"/>
    </row>
    <row r="119" spans="1:48" s="2008" customFormat="1" ht="21" customHeight="1" x14ac:dyDescent="0.2">
      <c r="A119" s="2472" t="s">
        <v>40</v>
      </c>
      <c r="B119" s="2473"/>
      <c r="C119" s="2473"/>
      <c r="D119" s="2474" t="s">
        <v>5</v>
      </c>
      <c r="E119" s="2475"/>
      <c r="F119" s="2475" t="s">
        <v>6</v>
      </c>
      <c r="G119" s="2476"/>
      <c r="H119" s="1805" t="s">
        <v>4</v>
      </c>
      <c r="I119" s="1806" t="s">
        <v>9</v>
      </c>
      <c r="J119" s="1807" t="s">
        <v>10</v>
      </c>
      <c r="K119" s="1805" t="s">
        <v>4</v>
      </c>
      <c r="L119" s="1806" t="s">
        <v>9</v>
      </c>
      <c r="M119" s="1807" t="s">
        <v>10</v>
      </c>
      <c r="N119" s="1805" t="s">
        <v>4</v>
      </c>
      <c r="O119" s="1806" t="s">
        <v>9</v>
      </c>
      <c r="P119" s="1807" t="s">
        <v>10</v>
      </c>
      <c r="Q119" s="1805" t="s">
        <v>4</v>
      </c>
      <c r="R119" s="1806" t="s">
        <v>9</v>
      </c>
      <c r="S119" s="1807" t="s">
        <v>10</v>
      </c>
      <c r="T119" s="1805" t="s">
        <v>4</v>
      </c>
      <c r="U119" s="1806" t="s">
        <v>9</v>
      </c>
      <c r="V119" s="1807" t="s">
        <v>10</v>
      </c>
      <c r="W119" s="1805" t="s">
        <v>4</v>
      </c>
      <c r="X119" s="1806" t="s">
        <v>9</v>
      </c>
      <c r="Y119" s="1807" t="s">
        <v>10</v>
      </c>
      <c r="Z119" s="1805" t="s">
        <v>4</v>
      </c>
      <c r="AA119" s="1806" t="s">
        <v>9</v>
      </c>
      <c r="AB119" s="1807" t="s">
        <v>10</v>
      </c>
      <c r="AC119" s="1805" t="s">
        <v>4</v>
      </c>
      <c r="AD119" s="1806" t="s">
        <v>9</v>
      </c>
      <c r="AE119" s="1807" t="s">
        <v>10</v>
      </c>
      <c r="AF119" s="1805" t="s">
        <v>4</v>
      </c>
      <c r="AG119" s="1806" t="s">
        <v>9</v>
      </c>
      <c r="AH119" s="1807" t="s">
        <v>10</v>
      </c>
      <c r="AI119" s="1805" t="s">
        <v>4</v>
      </c>
      <c r="AJ119" s="1806" t="s">
        <v>9</v>
      </c>
      <c r="AK119" s="1807" t="s">
        <v>10</v>
      </c>
      <c r="AL119" s="1805" t="s">
        <v>4</v>
      </c>
      <c r="AM119" s="1806" t="s">
        <v>9</v>
      </c>
      <c r="AN119" s="1807" t="s">
        <v>10</v>
      </c>
      <c r="AO119" s="1805" t="s">
        <v>4</v>
      </c>
      <c r="AP119" s="1806" t="s">
        <v>9</v>
      </c>
      <c r="AQ119" s="1807" t="s">
        <v>10</v>
      </c>
      <c r="AR119" s="2005"/>
      <c r="AS119" s="2006"/>
      <c r="AT119" s="2007"/>
      <c r="AU119" s="2007"/>
      <c r="AV119" s="2007"/>
    </row>
    <row r="120" spans="1:48" s="2008" customFormat="1" ht="21" customHeight="1" thickBot="1" x14ac:dyDescent="0.25">
      <c r="A120" s="2464" t="s">
        <v>89</v>
      </c>
      <c r="B120" s="2465"/>
      <c r="C120" s="2465"/>
      <c r="D120" s="1863" t="s">
        <v>7</v>
      </c>
      <c r="E120" s="1864" t="s">
        <v>8</v>
      </c>
      <c r="F120" s="1865" t="s">
        <v>7</v>
      </c>
      <c r="G120" s="1866" t="s">
        <v>8</v>
      </c>
      <c r="H120" s="1811" t="s">
        <v>30</v>
      </c>
      <c r="I120" s="1812" t="s">
        <v>31</v>
      </c>
      <c r="J120" s="1813" t="s">
        <v>32</v>
      </c>
      <c r="K120" s="1811" t="s">
        <v>30</v>
      </c>
      <c r="L120" s="1812" t="s">
        <v>31</v>
      </c>
      <c r="M120" s="1813" t="s">
        <v>32</v>
      </c>
      <c r="N120" s="1811" t="s">
        <v>30</v>
      </c>
      <c r="O120" s="1812" t="s">
        <v>31</v>
      </c>
      <c r="P120" s="1813" t="s">
        <v>32</v>
      </c>
      <c r="Q120" s="1811" t="s">
        <v>30</v>
      </c>
      <c r="R120" s="1812" t="s">
        <v>31</v>
      </c>
      <c r="S120" s="1813" t="s">
        <v>32</v>
      </c>
      <c r="T120" s="1811" t="s">
        <v>30</v>
      </c>
      <c r="U120" s="1812" t="s">
        <v>31</v>
      </c>
      <c r="V120" s="1813" t="s">
        <v>32</v>
      </c>
      <c r="W120" s="1811" t="s">
        <v>30</v>
      </c>
      <c r="X120" s="1812" t="s">
        <v>31</v>
      </c>
      <c r="Y120" s="1813" t="s">
        <v>32</v>
      </c>
      <c r="Z120" s="1811" t="s">
        <v>30</v>
      </c>
      <c r="AA120" s="1812" t="s">
        <v>31</v>
      </c>
      <c r="AB120" s="1813" t="s">
        <v>32</v>
      </c>
      <c r="AC120" s="1811" t="s">
        <v>30</v>
      </c>
      <c r="AD120" s="1812" t="s">
        <v>31</v>
      </c>
      <c r="AE120" s="1813" t="s">
        <v>32</v>
      </c>
      <c r="AF120" s="1811" t="s">
        <v>30</v>
      </c>
      <c r="AG120" s="1812" t="s">
        <v>31</v>
      </c>
      <c r="AH120" s="1813" t="s">
        <v>32</v>
      </c>
      <c r="AI120" s="1811" t="s">
        <v>30</v>
      </c>
      <c r="AJ120" s="1812" t="s">
        <v>31</v>
      </c>
      <c r="AK120" s="1813" t="s">
        <v>32</v>
      </c>
      <c r="AL120" s="1811" t="s">
        <v>30</v>
      </c>
      <c r="AM120" s="1812" t="s">
        <v>31</v>
      </c>
      <c r="AN120" s="1813" t="s">
        <v>32</v>
      </c>
      <c r="AO120" s="1811" t="s">
        <v>30</v>
      </c>
      <c r="AP120" s="1812" t="s">
        <v>31</v>
      </c>
      <c r="AQ120" s="1813" t="s">
        <v>32</v>
      </c>
      <c r="AR120" s="2005"/>
      <c r="AS120" s="2006"/>
      <c r="AT120" s="2007"/>
      <c r="AU120" s="2007"/>
      <c r="AV120" s="2007"/>
    </row>
    <row r="121" spans="1:48" ht="16.5" x14ac:dyDescent="0.25">
      <c r="A121" s="1867" t="s">
        <v>398</v>
      </c>
      <c r="B121" s="1868"/>
      <c r="C121" s="1869"/>
      <c r="D121" s="1870"/>
      <c r="E121" s="1871"/>
      <c r="F121" s="1872"/>
      <c r="G121" s="1873"/>
      <c r="H121" s="1874">
        <f>SQRT(I121^2+J121^2)*1000/(SQRT(3)*H101)</f>
        <v>194.61667813094758</v>
      </c>
      <c r="I121" s="1875">
        <v>3.3816000000000002</v>
      </c>
      <c r="J121" s="1876">
        <v>0.39479999999999993</v>
      </c>
      <c r="K121" s="1874">
        <f>SQRT(L121^2+M121^2)*1000/(SQRT(3)*K101)</f>
        <v>198.5005451500331</v>
      </c>
      <c r="L121" s="1875">
        <v>3.4476000000000004</v>
      </c>
      <c r="M121" s="1876">
        <v>0.41520000000000001</v>
      </c>
      <c r="N121" s="1874">
        <f>SQRT(O121^2+P121^2)*1000/(SQRT(3)*N101)</f>
        <v>195.23537407214229</v>
      </c>
      <c r="O121" s="1875">
        <v>3.3936000000000002</v>
      </c>
      <c r="P121" s="1876">
        <v>0.38520000000000004</v>
      </c>
      <c r="Q121" s="1874">
        <f>SQRT(R121^2+S121^2)*1000/(SQRT(3)*Q101)</f>
        <v>196.38657563464218</v>
      </c>
      <c r="R121" s="1875">
        <v>3.4152</v>
      </c>
      <c r="S121" s="1876">
        <v>0.37319999999999998</v>
      </c>
      <c r="T121" s="1874">
        <f>SQRT(U121^2+V121^2)*1000/(SQRT(3)*T101)</f>
        <v>199.17394746032116</v>
      </c>
      <c r="U121" s="1875">
        <v>3.4631999999999996</v>
      </c>
      <c r="V121" s="1876">
        <v>0.38280000000000003</v>
      </c>
      <c r="W121" s="1874">
        <f>SQRT(X121^2+Y121^2)*1000/(SQRT(3)*W101)</f>
        <v>205.25677788601814</v>
      </c>
      <c r="X121" s="1875">
        <v>3.5688</v>
      </c>
      <c r="Y121" s="1876">
        <v>0.39600000000000002</v>
      </c>
      <c r="Z121" s="1874">
        <f>SQRT(AA121^2+AB121^2)*1000/(SQRT(3)*Z101)</f>
        <v>209.23561642808562</v>
      </c>
      <c r="AA121" s="1875">
        <v>3.6395999999999997</v>
      </c>
      <c r="AB121" s="1876">
        <v>0.38880000000000003</v>
      </c>
      <c r="AC121" s="1874">
        <f>SQRT(AD121^2+AE121^2)*1000/(SQRT(3)*AC101)</f>
        <v>205.97677899926742</v>
      </c>
      <c r="AD121" s="1875">
        <v>3.5819999999999999</v>
      </c>
      <c r="AE121" s="1876">
        <v>0.39119999999999999</v>
      </c>
      <c r="AF121" s="1874">
        <f>SQRT(AG121^2+AH121^2)*1000/(SQRT(3)*AF101)</f>
        <v>191.65180170495458</v>
      </c>
      <c r="AG121" s="1875">
        <v>3.3323999999999998</v>
      </c>
      <c r="AH121" s="1876">
        <v>0.36839999999999995</v>
      </c>
      <c r="AI121" s="1874">
        <f>SQRT(AJ121^2+AK121^2)*1000/(SQRT(3)*AI101)</f>
        <v>177.80150714641019</v>
      </c>
      <c r="AJ121" s="1875">
        <v>3.0888</v>
      </c>
      <c r="AK121" s="1876">
        <v>0.36599999999999999</v>
      </c>
      <c r="AL121" s="1874">
        <f>SQRT(AM121^2+AN121^2)*1000/(SQRT(3)*AL101)</f>
        <v>156.81308020481345</v>
      </c>
      <c r="AM121" s="1875">
        <v>2.7191999999999998</v>
      </c>
      <c r="AN121" s="1876">
        <v>0.3624</v>
      </c>
      <c r="AO121" s="1874">
        <f>SQRT(AP121^2+AQ121^2)*1000/(SQRT(3)*AO101)</f>
        <v>128.97457020981989</v>
      </c>
      <c r="AP121" s="1875">
        <v>2.2343999999999995</v>
      </c>
      <c r="AQ121" s="1876">
        <v>0.31319999999999998</v>
      </c>
      <c r="AR121" s="284"/>
      <c r="AS121" s="393"/>
    </row>
    <row r="122" spans="1:48" s="1887" customFormat="1" ht="17.25" customHeight="1" x14ac:dyDescent="0.25">
      <c r="A122" s="1878" t="s">
        <v>399</v>
      </c>
      <c r="B122" s="1879"/>
      <c r="C122" s="1880"/>
      <c r="D122" s="1881"/>
      <c r="E122" s="1882"/>
      <c r="F122" s="1883"/>
      <c r="G122" s="1884"/>
      <c r="H122" s="1874">
        <f>SQRT(I122^2+J122^2)*1000/(SQRT(3)*H101)</f>
        <v>4.8575970122874823</v>
      </c>
      <c r="I122" s="1875">
        <v>8.4599999999999995E-2</v>
      </c>
      <c r="J122" s="1876">
        <v>-8.0000000000000002E-3</v>
      </c>
      <c r="K122" s="1874">
        <f>SQRT(L122^2+M122^2)*1000/(SQRT(3)*K101)</f>
        <v>5.167064830714569</v>
      </c>
      <c r="L122" s="1875">
        <v>0.09</v>
      </c>
      <c r="M122" s="1876">
        <v>-8.4000000000000012E-3</v>
      </c>
      <c r="N122" s="1874">
        <f>SQRT(O122^2+P122^2)*1000/(SQRT(3)*N101)</f>
        <v>5.0532439402339531</v>
      </c>
      <c r="O122" s="1875">
        <v>8.7999999999999995E-2</v>
      </c>
      <c r="P122" s="1876">
        <v>-8.4000000000000012E-3</v>
      </c>
      <c r="Q122" s="1874">
        <f>SQRT(R122^2+S122^2)*1000/(SQRT(3)*Q101)</f>
        <v>5.872269353890152</v>
      </c>
      <c r="R122" s="1875">
        <v>0.1022</v>
      </c>
      <c r="S122" s="1876">
        <v>-1.0399999999999998E-2</v>
      </c>
      <c r="T122" s="1874">
        <f>SQRT(U122^2+V122^2)*1000/(SQRT(3)*T101)</f>
        <v>6.337262757550981</v>
      </c>
      <c r="U122" s="1875">
        <v>0.11</v>
      </c>
      <c r="V122" s="1876">
        <v>-1.3800000000000002E-2</v>
      </c>
      <c r="W122" s="1874">
        <f>SQRT(X122^2+Y122^2)*1000/(SQRT(3)*W101)</f>
        <v>6.3458060676510684</v>
      </c>
      <c r="X122" s="1875">
        <v>0.11020000000000001</v>
      </c>
      <c r="Y122" s="1876">
        <v>-1.3399999999999999E-2</v>
      </c>
      <c r="Z122" s="1874">
        <f>SQRT(AA122^2+AB122^2)*1000/(SQRT(3)*Z101)</f>
        <v>6.9148805945273981</v>
      </c>
      <c r="AA122" s="1875">
        <v>0.12019999999999999</v>
      </c>
      <c r="AB122" s="1876">
        <v>-1.3599999999999999E-2</v>
      </c>
      <c r="AC122" s="1874">
        <f>SQRT(AD122^2+AE122^2)*1000/(SQRT(3)*AC101)</f>
        <v>6.9404645873339872</v>
      </c>
      <c r="AD122" s="1875">
        <v>0.12079999999999999</v>
      </c>
      <c r="AE122" s="1876">
        <v>-1.2199999999999999E-2</v>
      </c>
      <c r="AF122" s="1874">
        <f>SQRT(AG122^2+AH122^2)*1000/(SQRT(3)*AF101)</f>
        <v>6.2965834161133447</v>
      </c>
      <c r="AG122" s="1875">
        <v>0.10959999999999999</v>
      </c>
      <c r="AH122" s="1876">
        <v>-1.0999999999999999E-2</v>
      </c>
      <c r="AI122" s="1874">
        <f>SQRT(AJ122^2+AK122^2)*1000/(SQRT(3)*AI101)</f>
        <v>5.6485531768353558</v>
      </c>
      <c r="AJ122" s="1875">
        <v>9.820000000000001E-2</v>
      </c>
      <c r="AK122" s="1876">
        <v>-1.0999999999999999E-2</v>
      </c>
      <c r="AL122" s="1874">
        <f>SQRT(AM122^2+AN122^2)*1000/(SQRT(3)*AL101)</f>
        <v>4.8951226670598231</v>
      </c>
      <c r="AM122" s="1875">
        <v>8.5000000000000006E-2</v>
      </c>
      <c r="AN122" s="1876">
        <v>-1.04E-2</v>
      </c>
      <c r="AO122" s="1874">
        <f>SQRT(AP122^2+AQ122^2)*1000/(SQRT(3)*AO101)</f>
        <v>4.3705292579027057</v>
      </c>
      <c r="AP122" s="1875">
        <v>7.5799999999999992E-2</v>
      </c>
      <c r="AQ122" s="1876">
        <v>-0.01</v>
      </c>
      <c r="AR122" s="1885"/>
      <c r="AS122" s="1877"/>
      <c r="AT122" s="1877"/>
      <c r="AU122" s="1877"/>
      <c r="AV122" s="1886"/>
    </row>
    <row r="123" spans="1:48" s="1887" customFormat="1" ht="17.25" customHeight="1" x14ac:dyDescent="0.25">
      <c r="A123" s="1878" t="s">
        <v>400</v>
      </c>
      <c r="B123" s="1879"/>
      <c r="C123" s="1880"/>
      <c r="D123" s="1881"/>
      <c r="E123" s="1882"/>
      <c r="F123" s="1883"/>
      <c r="G123" s="1884"/>
      <c r="H123" s="1874">
        <f>SQRT(I123^2+J123^2)*1000/(SQRT(3)*H101)</f>
        <v>2.7701370805706418</v>
      </c>
      <c r="I123" s="1875">
        <v>4.7099999999999996E-2</v>
      </c>
      <c r="J123" s="1876">
        <v>-1.14E-2</v>
      </c>
      <c r="K123" s="1874">
        <f>SQRT(L123^2+M123^2)*1000/(SQRT(3)*K101)</f>
        <v>2.7661530659095459</v>
      </c>
      <c r="L123" s="1875">
        <v>4.7099999999999996E-2</v>
      </c>
      <c r="M123" s="1876">
        <v>-1.11E-2</v>
      </c>
      <c r="N123" s="1874">
        <f>SQRT(O123^2+P123^2)*1000/(SQRT(3)*N101)</f>
        <v>3.8804176846964724</v>
      </c>
      <c r="O123" s="1875">
        <v>6.7500000000000004E-2</v>
      </c>
      <c r="P123" s="1876">
        <v>7.1999999999999998E-3</v>
      </c>
      <c r="Q123" s="1874">
        <f>SQRT(R123^2+S123^2)*1000/(SQRT(3)*Q101)</f>
        <v>5.2414872796801415</v>
      </c>
      <c r="R123" s="1875">
        <v>8.7900000000000006E-2</v>
      </c>
      <c r="S123" s="1876">
        <v>2.6100000000000002E-2</v>
      </c>
      <c r="T123" s="1874">
        <f>SQRT(U123^2+V123^2)*1000/(SQRT(3)*T101)</f>
        <v>5.1757656575759805</v>
      </c>
      <c r="U123" s="1875">
        <v>8.6699999999999985E-2</v>
      </c>
      <c r="V123" s="1876">
        <v>2.6100000000000002E-2</v>
      </c>
      <c r="W123" s="1874">
        <f>SQRT(X123^2+Y123^2)*1000/(SQRT(3)*W101)</f>
        <v>5.0723130783410202</v>
      </c>
      <c r="X123" s="1875">
        <v>8.4900000000000003E-2</v>
      </c>
      <c r="Y123" s="1876">
        <v>2.58E-2</v>
      </c>
      <c r="Z123" s="1874">
        <f>SQRT(AA123^2+AB123^2)*1000/(SQRT(3)*Z101)</f>
        <v>3.6144987909329727</v>
      </c>
      <c r="AA123" s="1875">
        <v>6.3E-2</v>
      </c>
      <c r="AB123" s="1876">
        <v>-5.4000000000000003E-3</v>
      </c>
      <c r="AC123" s="1874">
        <f>SQRT(AD123^2+AE123^2)*1000/(SQRT(3)*AC101)</f>
        <v>3.6130746464939176</v>
      </c>
      <c r="AD123" s="1875">
        <v>6.3E-2</v>
      </c>
      <c r="AE123" s="1876">
        <v>-5.1000000000000004E-3</v>
      </c>
      <c r="AF123" s="1874">
        <f>SQRT(AG123^2+AH123^2)*1000/(SQRT(3)*AF101)</f>
        <v>3.6144987909329727</v>
      </c>
      <c r="AG123" s="1875">
        <v>6.3E-2</v>
      </c>
      <c r="AH123" s="1876">
        <v>-5.4000000000000003E-3</v>
      </c>
      <c r="AI123" s="1874">
        <f>SQRT(AJ123^2+AK123^2)*1000/(SQRT(3)*AI101)</f>
        <v>3.5989247814304051</v>
      </c>
      <c r="AJ123" s="1875">
        <v>6.2700000000000006E-2</v>
      </c>
      <c r="AK123" s="1876">
        <v>-5.7000000000000002E-3</v>
      </c>
      <c r="AL123" s="1874">
        <f>SQRT(AM123^2+AN123^2)*1000/(SQRT(3)*AL101)</f>
        <v>3.6459312157469257</v>
      </c>
      <c r="AM123" s="1875">
        <v>6.3600000000000004E-2</v>
      </c>
      <c r="AN123" s="1876">
        <v>-4.7999999999999996E-3</v>
      </c>
      <c r="AO123" s="1874">
        <f>SQRT(AP123^2+AQ123^2)*1000/(SQRT(3)*AO101)</f>
        <v>3.6301680115632715</v>
      </c>
      <c r="AP123" s="1875">
        <v>6.3299999999999995E-2</v>
      </c>
      <c r="AQ123" s="1876">
        <v>-5.1000000000000004E-3</v>
      </c>
      <c r="AR123" s="1885"/>
      <c r="AS123" s="1877"/>
      <c r="AT123" s="1877"/>
      <c r="AU123" s="1877"/>
      <c r="AV123" s="1886"/>
    </row>
    <row r="124" spans="1:48" s="1887" customFormat="1" ht="17.25" customHeight="1" x14ac:dyDescent="0.25">
      <c r="A124" s="1878" t="s">
        <v>401</v>
      </c>
      <c r="B124" s="1879"/>
      <c r="C124" s="1880"/>
      <c r="D124" s="1881"/>
      <c r="E124" s="1882"/>
      <c r="F124" s="1883"/>
      <c r="G124" s="1884"/>
      <c r="H124" s="1874">
        <f>SQRT(I124^2+J124^2)*1000/(SQRT(3)*H101)</f>
        <v>8.7722548778295213</v>
      </c>
      <c r="I124" s="1875">
        <v>0.15240000000000001</v>
      </c>
      <c r="J124" s="1876">
        <v>-1.7999999999999999E-2</v>
      </c>
      <c r="K124" s="1874">
        <f>SQRT(L124^2+M124^2)*1000/(SQRT(3)*K101)</f>
        <v>8.3976973891105811</v>
      </c>
      <c r="L124" s="1875">
        <v>0.14580000000000001</v>
      </c>
      <c r="M124" s="1876">
        <v>-1.7999999999999999E-2</v>
      </c>
      <c r="N124" s="1874">
        <f>SQRT(O124^2+P124^2)*1000/(SQRT(3)*N101)</f>
        <v>8.6320054725759157</v>
      </c>
      <c r="O124" s="1875">
        <v>0.15</v>
      </c>
      <c r="P124" s="1876">
        <v>-1.7399999999999999E-2</v>
      </c>
      <c r="Q124" s="1874">
        <f>SQRT(R124^2+S124^2)*1000/(SQRT(3)*Q101)</f>
        <v>9.1773366234035905</v>
      </c>
      <c r="R124" s="1875">
        <v>0.15959999999999999</v>
      </c>
      <c r="S124" s="1876">
        <v>-1.7399999999999999E-2</v>
      </c>
      <c r="T124" s="1874">
        <f>SQRT(U124^2+V124^2)*1000/(SQRT(3)*T101)</f>
        <v>9.92440794958023</v>
      </c>
      <c r="U124" s="1875">
        <v>0.17280000000000001</v>
      </c>
      <c r="V124" s="1876">
        <v>-1.6800000000000002E-2</v>
      </c>
      <c r="W124" s="1874">
        <f>SQRT(X124^2+Y124^2)*1000/(SQRT(3)*W101)</f>
        <v>10.060965030812905</v>
      </c>
      <c r="X124" s="1875">
        <v>0.17519999999999999</v>
      </c>
      <c r="Y124" s="1876">
        <v>-1.6800000000000002E-2</v>
      </c>
      <c r="Z124" s="1874">
        <f>SQRT(AA124^2+AB124^2)*1000/(SQRT(3)*Z101)</f>
        <v>9.1932172607617773</v>
      </c>
      <c r="AA124" s="1875">
        <v>0.15959999999999999</v>
      </c>
      <c r="AB124" s="1876">
        <v>-1.9799999999999998E-2</v>
      </c>
      <c r="AC124" s="1874">
        <f>SQRT(AD124^2+AE124^2)*1000/(SQRT(3)*AC101)</f>
        <v>8.8444386863663897</v>
      </c>
      <c r="AD124" s="1875">
        <v>0.15360000000000001</v>
      </c>
      <c r="AE124" s="1876">
        <v>-1.8600000000000002E-2</v>
      </c>
      <c r="AF124" s="1874">
        <f>SQRT(AG124^2+AH124^2)*1000/(SQRT(3)*AF101)</f>
        <v>8.9387024741502756</v>
      </c>
      <c r="AG124" s="1875">
        <v>0.15539999999999998</v>
      </c>
      <c r="AH124" s="1876">
        <v>-1.7399999999999999E-2</v>
      </c>
      <c r="AI124" s="1874">
        <f>SQRT(AJ124^2+AK124^2)*1000/(SQRT(3)*AI101)</f>
        <v>8.3636588367962386</v>
      </c>
      <c r="AJ124" s="1875">
        <v>0.1452</v>
      </c>
      <c r="AK124" s="1876">
        <v>-1.7999999999999999E-2</v>
      </c>
      <c r="AL124" s="1874">
        <f>SQRT(AM124^2+AN124^2)*1000/(SQRT(3)*AL101)</f>
        <v>7.5088419598289899</v>
      </c>
      <c r="AM124" s="1875">
        <v>0.13019999999999998</v>
      </c>
      <c r="AN124" s="1876">
        <v>-1.7399999999999999E-2</v>
      </c>
      <c r="AO124" s="1874">
        <f>SQRT(AP124^2+AQ124^2)*1000/(SQRT(3)*AO101)</f>
        <v>7.0963788156265357</v>
      </c>
      <c r="AP124" s="1875">
        <v>0.123</v>
      </c>
      <c r="AQ124" s="1876">
        <v>-1.6800000000000002E-2</v>
      </c>
      <c r="AR124" s="1885"/>
      <c r="AS124" s="1877"/>
      <c r="AT124" s="1877"/>
      <c r="AU124" s="1877"/>
      <c r="AV124" s="1886"/>
    </row>
    <row r="125" spans="1:48" s="1887" customFormat="1" ht="17.25" customHeight="1" x14ac:dyDescent="0.25">
      <c r="A125" s="1878" t="s">
        <v>402</v>
      </c>
      <c r="B125" s="1879"/>
      <c r="C125" s="1880"/>
      <c r="D125" s="1881"/>
      <c r="E125" s="1882"/>
      <c r="F125" s="1883"/>
      <c r="G125" s="1884"/>
      <c r="H125" s="1874">
        <f>SQRT(I125^2+J125^2)*1000/(SQRT(3)*H101)</f>
        <v>31.079774092036118</v>
      </c>
      <c r="I125" s="1875">
        <v>0.5364000000000001</v>
      </c>
      <c r="J125" s="1876">
        <v>-8.8800000000000018E-2</v>
      </c>
      <c r="K125" s="1874">
        <f>SQRT(L125^2+M125^2)*1000/(SQRT(3)*K101)</f>
        <v>32.456889280981059</v>
      </c>
      <c r="L125" s="1875">
        <v>0.55920000000000003</v>
      </c>
      <c r="M125" s="1876">
        <v>-9.8399999999999987E-2</v>
      </c>
      <c r="N125" s="1874">
        <f>SQRT(O125^2+P125^2)*1000/(SQRT(3)*N101)</f>
        <v>34.046117601179745</v>
      </c>
      <c r="O125" s="1875">
        <v>0.58799999999999997</v>
      </c>
      <c r="P125" s="1876">
        <v>-9.4800000000000009E-2</v>
      </c>
      <c r="Q125" s="1874">
        <f>SQRT(R125^2+S125^2)*1000/(SQRT(3)*Q101)</f>
        <v>39.793526514688892</v>
      </c>
      <c r="R125" s="1875">
        <v>0.68879999999999997</v>
      </c>
      <c r="S125" s="1876">
        <v>-0.1008</v>
      </c>
      <c r="T125" s="1874">
        <f>SQRT(U125^2+V125^2)*1000/(SQRT(3)*T101)</f>
        <v>37.259729236827347</v>
      </c>
      <c r="U125" s="1875">
        <v>0.64319999999999999</v>
      </c>
      <c r="V125" s="1876">
        <v>-0.1056</v>
      </c>
      <c r="W125" s="1874">
        <f>SQRT(X125^2+Y125^2)*1000/(SQRT(3)*W101)</f>
        <v>36.731258812936744</v>
      </c>
      <c r="X125" s="1875">
        <v>0.63479999999999992</v>
      </c>
      <c r="Y125" s="1876">
        <v>-9.9599999999999994E-2</v>
      </c>
      <c r="Z125" s="1874">
        <f>SQRT(AA125^2+AB125^2)*1000/(SQRT(3)*Z101)</f>
        <v>34.186798367632406</v>
      </c>
      <c r="AA125" s="1875">
        <v>0.58799999999999997</v>
      </c>
      <c r="AB125" s="1876">
        <v>-0.10919999999999999</v>
      </c>
      <c r="AC125" s="1874">
        <f>SQRT(AD125^2+AE125^2)*1000/(SQRT(3)*AC101)</f>
        <v>28.654772220055026</v>
      </c>
      <c r="AD125" s="1875">
        <v>0.49199999999999999</v>
      </c>
      <c r="AE125" s="1876">
        <v>-9.6000000000000002E-2</v>
      </c>
      <c r="AF125" s="1874">
        <f>SQRT(AG125^2+AH125^2)*1000/(SQRT(3)*AF101)</f>
        <v>24.541005578589328</v>
      </c>
      <c r="AG125" s="1875">
        <v>0.41760000000000003</v>
      </c>
      <c r="AH125" s="1876">
        <v>-9.9599999999999994E-2</v>
      </c>
      <c r="AI125" s="1874">
        <f>SQRT(AJ125^2+AK125^2)*1000/(SQRT(3)*AI101)</f>
        <v>21.339001959027787</v>
      </c>
      <c r="AJ125" s="1875">
        <v>0.36480000000000001</v>
      </c>
      <c r="AK125" s="1876">
        <v>-7.920000000000002E-2</v>
      </c>
      <c r="AL125" s="1874">
        <f>SQRT(AM125^2+AN125^2)*1000/(SQRT(3)*AL101)</f>
        <v>20.669169959270622</v>
      </c>
      <c r="AM125" s="1875">
        <v>0.3528</v>
      </c>
      <c r="AN125" s="1876">
        <v>-7.920000000000002E-2</v>
      </c>
      <c r="AO125" s="1874">
        <f>SQRT(AP125^2+AQ125^2)*1000/(SQRT(3)*AO101)</f>
        <v>16.905278823862623</v>
      </c>
      <c r="AP125" s="1875">
        <v>0.28799999999999998</v>
      </c>
      <c r="AQ125" s="1876">
        <v>-6.720000000000001E-2</v>
      </c>
      <c r="AR125" s="1885"/>
      <c r="AS125" s="1877"/>
      <c r="AT125" s="1877"/>
      <c r="AU125" s="1877"/>
      <c r="AV125" s="1886"/>
    </row>
    <row r="126" spans="1:48" s="1887" customFormat="1" ht="17.25" customHeight="1" x14ac:dyDescent="0.25">
      <c r="A126" s="1878" t="s">
        <v>403</v>
      </c>
      <c r="B126" s="1879"/>
      <c r="C126" s="1880"/>
      <c r="D126" s="1881"/>
      <c r="E126" s="1882"/>
      <c r="F126" s="1883"/>
      <c r="G126" s="1884"/>
      <c r="H126" s="1874">
        <f>SQRT(I126^2+J126^2)*1000/(SQRT(3)*H101)</f>
        <v>5.6918207843184891</v>
      </c>
      <c r="I126" s="1875">
        <v>9.7200000000000009E-2</v>
      </c>
      <c r="J126" s="1876">
        <v>-2.1600000000000001E-2</v>
      </c>
      <c r="K126" s="1874">
        <f>SQRT(L126^2+M126^2)*1000/(SQRT(3)*K101)</f>
        <v>5.6248778701246724</v>
      </c>
      <c r="L126" s="1875">
        <v>9.6000000000000002E-2</v>
      </c>
      <c r="M126" s="1876">
        <v>-2.1600000000000001E-2</v>
      </c>
      <c r="N126" s="1874">
        <f>SQRT(O126^2+P126^2)*1000/(SQRT(3)*N101)</f>
        <v>4.9754617952973064</v>
      </c>
      <c r="O126" s="1875">
        <v>8.4000000000000005E-2</v>
      </c>
      <c r="P126" s="1876">
        <v>-2.2800000000000001E-2</v>
      </c>
      <c r="Q126" s="1874">
        <f>SQRT(R126^2+S126^2)*1000/(SQRT(3)*Q101)</f>
        <v>5.1259214851052475</v>
      </c>
      <c r="R126" s="1875">
        <v>8.6400000000000005E-2</v>
      </c>
      <c r="S126" s="1876">
        <v>-2.4E-2</v>
      </c>
      <c r="T126" s="1874">
        <f>SQRT(U126^2+V126^2)*1000/(SQRT(3)*T101)</f>
        <v>5.8728814224648804</v>
      </c>
      <c r="U126" s="1875">
        <v>9.9599999999999994E-2</v>
      </c>
      <c r="V126" s="1876">
        <v>-2.52E-2</v>
      </c>
      <c r="W126" s="1874">
        <f>SQRT(X126^2+Y126^2)*1000/(SQRT(3)*W101)</f>
        <v>5.8238024379094817</v>
      </c>
      <c r="X126" s="1875">
        <v>9.8400000000000001E-2</v>
      </c>
      <c r="Y126" s="1876">
        <v>-2.64E-2</v>
      </c>
      <c r="Z126" s="1874">
        <f>SQRT(AA126^2+AB126^2)*1000/(SQRT(3)*Z101)</f>
        <v>6.106591661429416</v>
      </c>
      <c r="AA126" s="1875">
        <v>0.10319999999999999</v>
      </c>
      <c r="AB126" s="1876">
        <v>-2.7600000000000003E-2</v>
      </c>
      <c r="AC126" s="1874">
        <f>SQRT(AD126^2+AE126^2)*1000/(SQRT(3)*AC101)</f>
        <v>6.089229653475666</v>
      </c>
      <c r="AD126" s="1875">
        <v>0.10319999999999999</v>
      </c>
      <c r="AE126" s="1876">
        <v>-2.64E-2</v>
      </c>
      <c r="AF126" s="1874">
        <f>SQRT(AG126^2+AH126^2)*1000/(SQRT(3)*AF101)</f>
        <v>6.3720544669356958</v>
      </c>
      <c r="AG126" s="1875">
        <v>0.108</v>
      </c>
      <c r="AH126" s="1876">
        <v>-2.7600000000000003E-2</v>
      </c>
      <c r="AI126" s="1874">
        <f>SQRT(AJ126^2+AK126^2)*1000/(SQRT(3)*AI101)</f>
        <v>5.956414577590726</v>
      </c>
      <c r="AJ126" s="1875">
        <v>0.10080000000000001</v>
      </c>
      <c r="AK126" s="1876">
        <v>-2.64E-2</v>
      </c>
      <c r="AL126" s="1874">
        <f>SQRT(AM126^2+AN126^2)*1000/(SQRT(3)*AL101)</f>
        <v>5.3907958897975616</v>
      </c>
      <c r="AM126" s="1875">
        <v>9.1199999999999989E-2</v>
      </c>
      <c r="AN126" s="1876">
        <v>-2.4E-2</v>
      </c>
      <c r="AO126" s="1874">
        <f>SQRT(AP126^2+AQ126^2)*1000/(SQRT(3)*AO101)</f>
        <v>4.6751129096072868</v>
      </c>
      <c r="AP126" s="1875">
        <v>7.9199999999999993E-2</v>
      </c>
      <c r="AQ126" s="1876">
        <v>-2.0399999999999998E-2</v>
      </c>
      <c r="AR126" s="1885"/>
      <c r="AS126" s="1877"/>
      <c r="AT126" s="1877"/>
      <c r="AU126" s="1877"/>
      <c r="AV126" s="1886"/>
    </row>
    <row r="127" spans="1:48" s="230" customFormat="1" ht="17.25" customHeight="1" x14ac:dyDescent="0.25">
      <c r="A127" s="1878" t="s">
        <v>404</v>
      </c>
      <c r="B127" s="1879"/>
      <c r="C127" s="1880"/>
      <c r="D127" s="1881"/>
      <c r="E127" s="1882"/>
      <c r="F127" s="1883"/>
      <c r="G127" s="1884"/>
      <c r="H127" s="1874">
        <f>SQRT(I127^2+J127^2)*1000/(SQRT(3)*H101)</f>
        <v>16.982377252417209</v>
      </c>
      <c r="I127" s="1875">
        <v>0.29580000000000001</v>
      </c>
      <c r="J127" s="1876">
        <v>2.7600000000000003E-2</v>
      </c>
      <c r="K127" s="1874">
        <f>SQRT(L127^2+M127^2)*1000/(SQRT(3)*K101)</f>
        <v>16.650981084058099</v>
      </c>
      <c r="L127" s="1875">
        <v>0.28979999999999995</v>
      </c>
      <c r="M127" s="1876">
        <v>2.9399999999999999E-2</v>
      </c>
      <c r="N127" s="1874">
        <f>SQRT(O127^2+P127^2)*1000/(SQRT(3)*N101)</f>
        <v>16.521616963111601</v>
      </c>
      <c r="O127" s="1875">
        <v>0.28739999999999999</v>
      </c>
      <c r="P127" s="1876">
        <v>3.0600000000000002E-2</v>
      </c>
      <c r="Q127" s="1874">
        <f>SQRT(R127^2+S127^2)*1000/(SQRT(3)*Q101)</f>
        <v>17.606688803922587</v>
      </c>
      <c r="R127" s="1875">
        <v>0.30660000000000004</v>
      </c>
      <c r="S127" s="1876">
        <v>2.9399999999999999E-2</v>
      </c>
      <c r="T127" s="1874">
        <f>SQRT(U127^2+V127^2)*1000/(SQRT(3)*T101)</f>
        <v>17.811548216745869</v>
      </c>
      <c r="U127" s="1875">
        <v>0.31019999999999998</v>
      </c>
      <c r="V127" s="1876">
        <v>2.9399999999999999E-2</v>
      </c>
      <c r="W127" s="1874">
        <f>SQRT(X127^2+Y127^2)*1000/(SQRT(3)*W101)</f>
        <v>18.590959156972986</v>
      </c>
      <c r="X127" s="1875">
        <v>0.32400000000000001</v>
      </c>
      <c r="Y127" s="1876">
        <v>2.8200000000000003E-2</v>
      </c>
      <c r="Z127" s="1874">
        <f>SQRT(AA127^2+AB127^2)*1000/(SQRT(3)*Z101)</f>
        <v>17.848956180726539</v>
      </c>
      <c r="AA127" s="1875">
        <v>0.31080000000000002</v>
      </c>
      <c r="AB127" s="1876">
        <v>0.03</v>
      </c>
      <c r="AC127" s="1874">
        <f>SQRT(AD127^2+AE127^2)*1000/(SQRT(3)*AC101)</f>
        <v>18.091230427219372</v>
      </c>
      <c r="AD127" s="1875">
        <v>0.315</v>
      </c>
      <c r="AE127" s="1876">
        <v>3.0600000000000002E-2</v>
      </c>
      <c r="AF127" s="1874">
        <f>SQRT(AG127^2+AH127^2)*1000/(SQRT(3)*AF101)</f>
        <v>17.162902980034815</v>
      </c>
      <c r="AG127" s="1875">
        <v>0.29879999999999995</v>
      </c>
      <c r="AH127" s="1876">
        <v>2.9399999999999999E-2</v>
      </c>
      <c r="AI127" s="1874">
        <f>SQRT(AJ127^2+AK127^2)*1000/(SQRT(3)*AI101)</f>
        <v>16.743344186616802</v>
      </c>
      <c r="AJ127" s="1875">
        <v>0.29160000000000003</v>
      </c>
      <c r="AK127" s="1876">
        <v>2.7600000000000003E-2</v>
      </c>
      <c r="AL127" s="1874">
        <f>SQRT(AM127^2+AN127^2)*1000/(SQRT(3)*AL101)</f>
        <v>15.252795797146444</v>
      </c>
      <c r="AM127" s="1875">
        <v>0.26580000000000004</v>
      </c>
      <c r="AN127" s="1876">
        <v>2.3399999999999997E-2</v>
      </c>
      <c r="AO127" s="1874">
        <f>SQRT(AP127^2+AQ127^2)*1000/(SQRT(3)*AO101)</f>
        <v>13.521780402027787</v>
      </c>
      <c r="AP127" s="1875">
        <v>0.23519999999999999</v>
      </c>
      <c r="AQ127" s="1876">
        <v>2.52E-2</v>
      </c>
      <c r="AR127" s="284"/>
      <c r="AS127" s="393"/>
      <c r="AT127" s="393"/>
      <c r="AU127" s="393"/>
      <c r="AV127" s="231"/>
    </row>
    <row r="128" spans="1:48" s="1887" customFormat="1" ht="16.5" x14ac:dyDescent="0.25">
      <c r="A128" s="1878" t="s">
        <v>405</v>
      </c>
      <c r="B128" s="1879"/>
      <c r="C128" s="1880"/>
      <c r="D128" s="1881"/>
      <c r="E128" s="1882"/>
      <c r="F128" s="1883"/>
      <c r="G128" s="1884"/>
      <c r="H128" s="1874">
        <f>SQRT(I128^2+J128^2)*1000/(SQRT(3)*H101)</f>
        <v>4.276203886752481</v>
      </c>
      <c r="I128" s="1875">
        <v>7.4800000000000005E-2</v>
      </c>
      <c r="J128" s="1876">
        <v>-1.0000000000000005E-3</v>
      </c>
      <c r="K128" s="1874">
        <f>SQRT(L128^2+M128^2)*1000/(SQRT(3)*K101)</f>
        <v>4.2585001330666223</v>
      </c>
      <c r="L128" s="1875">
        <v>7.4400000000000008E-2</v>
      </c>
      <c r="M128" s="1876">
        <v>-3.8000000000000004E-3</v>
      </c>
      <c r="N128" s="1874">
        <f>SQRT(O128^2+P128^2)*1000/(SQRT(3)*N101)</f>
        <v>4.5229069471838255</v>
      </c>
      <c r="O128" s="1875">
        <v>7.9000000000000001E-2</v>
      </c>
      <c r="P128" s="1876">
        <v>-4.3999999999999994E-3</v>
      </c>
      <c r="Q128" s="1874">
        <f>SQRT(R128^2+S128^2)*1000/(SQRT(3)*Q101)</f>
        <v>4.4874392186164549</v>
      </c>
      <c r="R128" s="1875">
        <v>7.8400000000000011E-2</v>
      </c>
      <c r="S128" s="1876">
        <v>-4.0000000000000001E-3</v>
      </c>
      <c r="T128" s="1874">
        <f>SQRT(U128^2+V128^2)*1000/(SQRT(3)*T101)</f>
        <v>5.1146512637630934</v>
      </c>
      <c r="U128" s="1875">
        <v>8.9199999999999988E-2</v>
      </c>
      <c r="V128" s="1876">
        <v>-7.0000000000000001E-3</v>
      </c>
      <c r="W128" s="1874">
        <f>SQRT(X128^2+Y128^2)*1000/(SQRT(3)*W101)</f>
        <v>5.0812565429644874</v>
      </c>
      <c r="X128" s="1875">
        <v>8.8800000000000004E-2</v>
      </c>
      <c r="Y128" s="1876">
        <v>-4.0000000000000001E-3</v>
      </c>
      <c r="Z128" s="1874">
        <f>SQRT(AA128^2+AB128^2)*1000/(SQRT(3)*Z101)</f>
        <v>5.3714734344352957</v>
      </c>
      <c r="AA128" s="1875">
        <v>9.3799999999999994E-2</v>
      </c>
      <c r="AB128" s="1876">
        <v>-5.5999999999999999E-3</v>
      </c>
      <c r="AC128" s="1874">
        <f>SQRT(AD128^2+AE128^2)*1000/(SQRT(3)*AC101)</f>
        <v>5.4152050114301966</v>
      </c>
      <c r="AD128" s="1875">
        <v>9.459999999999999E-2</v>
      </c>
      <c r="AE128" s="1876">
        <v>-5.0000000000000001E-3</v>
      </c>
      <c r="AF128" s="1874">
        <f>SQRT(AG128^2+AH128^2)*1000/(SQRT(3)*AF101)</f>
        <v>5.6538612566776427</v>
      </c>
      <c r="AG128" s="1875">
        <v>9.8800000000000013E-2</v>
      </c>
      <c r="AH128" s="1876">
        <v>-4.5999999999999999E-3</v>
      </c>
      <c r="AI128" s="1874">
        <f>SQRT(AJ128^2+AK128^2)*1000/(SQRT(3)*AI101)</f>
        <v>4.9364421001807663</v>
      </c>
      <c r="AJ128" s="1875">
        <v>8.6199999999999999E-2</v>
      </c>
      <c r="AK128" s="1876">
        <v>-5.1999999999999998E-3</v>
      </c>
      <c r="AL128" s="1874">
        <f>SQRT(AM128^2+AN128^2)*1000/(SQRT(3)*AL101)</f>
        <v>4.5927077788619162</v>
      </c>
      <c r="AM128" s="1875">
        <v>8.0199999999999994E-2</v>
      </c>
      <c r="AN128" s="1876">
        <v>-4.7999999999999996E-3</v>
      </c>
      <c r="AO128" s="1874">
        <f>SQRT(AP128^2+AQ128^2)*1000/(SQRT(3)*AO101)</f>
        <v>3.7245273582143787</v>
      </c>
      <c r="AP128" s="1875">
        <v>6.4799999999999996E-2</v>
      </c>
      <c r="AQ128" s="1876">
        <v>-6.7999999999999996E-3</v>
      </c>
      <c r="AR128" s="1885"/>
      <c r="AS128" s="1877"/>
      <c r="AT128" s="1877"/>
      <c r="AU128" s="1877"/>
      <c r="AV128" s="1886"/>
    </row>
    <row r="129" spans="1:48" s="230" customFormat="1" ht="16.5" customHeight="1" x14ac:dyDescent="0.25">
      <c r="A129" s="1878" t="s">
        <v>406</v>
      </c>
      <c r="B129" s="1879"/>
      <c r="C129" s="1880"/>
      <c r="D129" s="1881"/>
      <c r="E129" s="1882"/>
      <c r="F129" s="1883"/>
      <c r="G129" s="1884"/>
      <c r="H129" s="1874">
        <f>SQRT(I129^2+J129^2)*1000/(SQRT(3)*H109)</f>
        <v>0</v>
      </c>
      <c r="I129" s="1875"/>
      <c r="J129" s="1876"/>
      <c r="K129" s="1874">
        <f>SQRT(L129^2+M129^2)*1000/(SQRT(3)*K109)</f>
        <v>0</v>
      </c>
      <c r="L129" s="1875"/>
      <c r="M129" s="1876"/>
      <c r="N129" s="1874">
        <f>SQRT(O129^2+P129^2)*1000/(SQRT(3)*N109)</f>
        <v>0</v>
      </c>
      <c r="O129" s="1875"/>
      <c r="P129" s="1876"/>
      <c r="Q129" s="1874">
        <f>SQRT(R129^2+S129^2)*1000/(SQRT(3)*Q109)</f>
        <v>0</v>
      </c>
      <c r="R129" s="1875"/>
      <c r="S129" s="1876"/>
      <c r="T129" s="1874">
        <f>SQRT(U129^2+V129^2)*1000/(SQRT(3)*T109)</f>
        <v>0</v>
      </c>
      <c r="U129" s="1875"/>
      <c r="V129" s="1876"/>
      <c r="W129" s="1874">
        <f>SQRT(X129^2+Y129^2)*1000/(SQRT(3)*W109)</f>
        <v>0</v>
      </c>
      <c r="X129" s="1875"/>
      <c r="Y129" s="1876"/>
      <c r="Z129" s="1874">
        <f>SQRT(AA129^2+AB129^2)*1000/(SQRT(3)*Z109)</f>
        <v>0</v>
      </c>
      <c r="AA129" s="1875"/>
      <c r="AB129" s="1876"/>
      <c r="AC129" s="1874">
        <f>SQRT(AD129^2+AE129^2)*1000/(SQRT(3)*AC109)</f>
        <v>0</v>
      </c>
      <c r="AD129" s="1875"/>
      <c r="AE129" s="1876"/>
      <c r="AF129" s="1874">
        <f>SQRT(AG129^2+AH129^2)*1000/(SQRT(3)*AF109)</f>
        <v>0</v>
      </c>
      <c r="AG129" s="1875"/>
      <c r="AH129" s="1876"/>
      <c r="AI129" s="1874">
        <f>SQRT(AJ129^2+AK129^2)*1000/(SQRT(3)*AI109)</f>
        <v>0</v>
      </c>
      <c r="AJ129" s="1875"/>
      <c r="AK129" s="1876"/>
      <c r="AL129" s="1874">
        <f>SQRT(AM129^2+AN129^2)*1000/(SQRT(3)*AL109)</f>
        <v>0</v>
      </c>
      <c r="AM129" s="1875"/>
      <c r="AN129" s="1876"/>
      <c r="AO129" s="1874">
        <f>SQRT(AP129^2+AQ129^2)*1000/(SQRT(3)*AO109)</f>
        <v>0</v>
      </c>
      <c r="AP129" s="1875"/>
      <c r="AQ129" s="1876"/>
      <c r="AR129" s="284"/>
      <c r="AS129" s="393"/>
      <c r="AT129" s="393"/>
      <c r="AU129" s="393"/>
      <c r="AV129" s="231"/>
    </row>
    <row r="130" spans="1:48" s="2010" customFormat="1" ht="16.5" x14ac:dyDescent="0.25">
      <c r="A130" s="1878" t="s">
        <v>407</v>
      </c>
      <c r="B130" s="1879"/>
      <c r="C130" s="1880"/>
      <c r="D130" s="1881"/>
      <c r="E130" s="1882"/>
      <c r="F130" s="1883"/>
      <c r="G130" s="1884"/>
      <c r="H130" s="1874">
        <f>SQRT(I130^2+J130^2)*1000/(SQRT(3)*H109)</f>
        <v>1.8638071468578405</v>
      </c>
      <c r="I130" s="1875">
        <v>3.1799999999999995E-2</v>
      </c>
      <c r="J130" s="1876">
        <v>-7.1999999999999998E-3</v>
      </c>
      <c r="K130" s="1874">
        <f>SQRT(L130^2+M130^2)*1000/(SQRT(3)*K109)</f>
        <v>1.8636493508835621</v>
      </c>
      <c r="L130" s="1875">
        <v>3.2100000000000004E-2</v>
      </c>
      <c r="M130" s="1876">
        <v>-5.7000000000000002E-3</v>
      </c>
      <c r="N130" s="1874">
        <f>SQRT(O130^2+P130^2)*1000/(SQRT(3)*N109)</f>
        <v>1.8867816787909604</v>
      </c>
      <c r="O130" s="1875">
        <v>3.2399999999999998E-2</v>
      </c>
      <c r="P130" s="1876">
        <v>-6.3E-3</v>
      </c>
      <c r="Q130" s="1874">
        <f>SQRT(R130^2+S130^2)*1000/(SQRT(3)*Q109)</f>
        <v>2.0753146009868741</v>
      </c>
      <c r="R130" s="1875">
        <v>3.5700000000000003E-2</v>
      </c>
      <c r="S130" s="1876">
        <v>-6.6E-3</v>
      </c>
      <c r="T130" s="1874">
        <f>SQRT(U130^2+V130^2)*1000/(SQRT(3)*T109)</f>
        <v>2.1154549144681707</v>
      </c>
      <c r="U130" s="1875">
        <v>3.6299999999999999E-2</v>
      </c>
      <c r="V130" s="1876">
        <v>-7.1999999999999989E-3</v>
      </c>
      <c r="W130" s="1874">
        <f>SQRT(X130^2+Y130^2)*1000/(SQRT(3)*W109)</f>
        <v>1.9742236607935228</v>
      </c>
      <c r="X130" s="1875">
        <v>3.3900000000000007E-2</v>
      </c>
      <c r="Y130" s="1876">
        <v>-6.6E-3</v>
      </c>
      <c r="Z130" s="1874">
        <f>SQRT(AA130^2+AB130^2)*1000/(SQRT(3)*Z109)</f>
        <v>2.0650152093677443</v>
      </c>
      <c r="AA130" s="1875">
        <v>3.5400000000000001E-2</v>
      </c>
      <c r="AB130" s="1876">
        <v>-7.1999999999999998E-3</v>
      </c>
      <c r="AC130" s="1874">
        <f>SQRT(AD130^2+AE130^2)*1000/(SQRT(3)*AC109)</f>
        <v>2.46969674644679</v>
      </c>
      <c r="AD130" s="1875">
        <v>4.2599999999999992E-2</v>
      </c>
      <c r="AE130" s="1876">
        <v>-7.1999999999999998E-3</v>
      </c>
      <c r="AF130" s="1874">
        <f>SQRT(AG130^2+AH130^2)*1000/(SQRT(3)*AF109)</f>
        <v>2.1765745376551728</v>
      </c>
      <c r="AG130" s="1875">
        <v>3.7499999999999999E-2</v>
      </c>
      <c r="AH130" s="1876">
        <v>-6.6E-3</v>
      </c>
      <c r="AI130" s="1874">
        <f>SQRT(AJ130^2+AK130^2)*1000/(SQRT(3)*AI109)</f>
        <v>2.0986362454640433</v>
      </c>
      <c r="AJ130" s="1875">
        <v>3.5999999999999997E-2</v>
      </c>
      <c r="AK130" s="1876">
        <v>-7.1999999999999998E-3</v>
      </c>
      <c r="AL130" s="1874">
        <f>SQRT(AM130^2+AN130^2)*1000/(SQRT(3)*AL109)</f>
        <v>1.6182894969660375</v>
      </c>
      <c r="AM130" s="1875">
        <v>2.7600000000000003E-2</v>
      </c>
      <c r="AN130" s="1876">
        <v>-6.3E-3</v>
      </c>
      <c r="AO130" s="1874">
        <f>SQRT(AP130^2+AQ130^2)*1000/(SQRT(3)*AO109)</f>
        <v>1.4769078304130359</v>
      </c>
      <c r="AP130" s="1875">
        <v>2.52E-2</v>
      </c>
      <c r="AQ130" s="1876">
        <v>-5.6999999999999993E-3</v>
      </c>
      <c r="AR130" s="1885"/>
      <c r="AS130" s="1877"/>
      <c r="AT130" s="2009"/>
      <c r="AU130" s="2009"/>
      <c r="AV130" s="2009"/>
    </row>
    <row r="131" spans="1:48" s="2010" customFormat="1" ht="16.5" x14ac:dyDescent="0.25">
      <c r="A131" s="1878" t="s">
        <v>408</v>
      </c>
      <c r="B131" s="1879"/>
      <c r="C131" s="1880"/>
      <c r="D131" s="1881"/>
      <c r="E131" s="1882"/>
      <c r="F131" s="1883"/>
      <c r="G131" s="1884"/>
      <c r="H131" s="1874">
        <f>SQRT(I131^2+J131^2)*1000/(SQRT(3)*H109)</f>
        <v>6.4015471490400051</v>
      </c>
      <c r="I131" s="1875">
        <v>0.11159999999999999</v>
      </c>
      <c r="J131" s="1876">
        <v>-9.300000000000001E-3</v>
      </c>
      <c r="K131" s="1874">
        <f>SQRT(L131^2+M131^2)*1000/(SQRT(3)*K109)</f>
        <v>6.3745001014955118</v>
      </c>
      <c r="L131" s="1875">
        <v>0.1113</v>
      </c>
      <c r="M131" s="1876">
        <v>-6.9000000000000008E-3</v>
      </c>
      <c r="N131" s="1874">
        <f>SQRT(O131^2+P131^2)*1000/(SQRT(3)*N109)</f>
        <v>6.4172394883408028</v>
      </c>
      <c r="O131" s="1875">
        <v>0.1119</v>
      </c>
      <c r="P131" s="1876">
        <v>-8.9999999999999993E-3</v>
      </c>
      <c r="Q131" s="1874">
        <f>SQRT(R131^2+S131^2)*1000/(SQRT(3)*Q109)</f>
        <v>6.3304038063720904</v>
      </c>
      <c r="R131" s="1875">
        <v>0.11040000000000001</v>
      </c>
      <c r="S131" s="1876">
        <v>-8.6999999999999994E-3</v>
      </c>
      <c r="T131" s="1874">
        <f>SQRT(U131^2+V131^2)*1000/(SQRT(3)*T109)</f>
        <v>6.3449048740697478</v>
      </c>
      <c r="U131" s="1875">
        <v>0.11070000000000001</v>
      </c>
      <c r="V131" s="1876">
        <v>-8.0999999999999996E-3</v>
      </c>
      <c r="W131" s="1874">
        <f>SQRT(X131^2+Y131^2)*1000/(SQRT(3)*W109)</f>
        <v>6.2593915323033693</v>
      </c>
      <c r="X131" s="1875">
        <v>0.10919999999999999</v>
      </c>
      <c r="Y131" s="1876">
        <v>-8.0999999999999996E-3</v>
      </c>
      <c r="Z131" s="1874">
        <f>SQRT(AA131^2+AB131^2)*1000/(SQRT(3)*Z109)</f>
        <v>6.4001458173762007</v>
      </c>
      <c r="AA131" s="1875">
        <v>0.11159999999999999</v>
      </c>
      <c r="AB131" s="1876">
        <v>-8.9999999999999993E-3</v>
      </c>
      <c r="AC131" s="1874">
        <f>SQRT(AD131^2+AE131^2)*1000/(SQRT(3)*AC109)</f>
        <v>6.2477522671224897</v>
      </c>
      <c r="AD131" s="1875">
        <v>0.10890000000000001</v>
      </c>
      <c r="AE131" s="1876">
        <v>-9.300000000000001E-3</v>
      </c>
      <c r="AF131" s="1874">
        <f>SQRT(AG131^2+AH131^2)*1000/(SQRT(3)*AF109)</f>
        <v>6.1824528516136112</v>
      </c>
      <c r="AG131" s="1875">
        <v>0.1077</v>
      </c>
      <c r="AH131" s="1876">
        <v>-9.8999999999999991E-3</v>
      </c>
      <c r="AI131" s="1874">
        <f>SQRT(AJ131^2+AK131^2)*1000/(SQRT(3)*AI109)</f>
        <v>6.1995300725363327</v>
      </c>
      <c r="AJ131" s="1875">
        <v>0.108</v>
      </c>
      <c r="AK131" s="1876">
        <v>-9.8999999999999991E-3</v>
      </c>
      <c r="AL131" s="1874">
        <f>SQRT(AM131^2+AN131^2)*1000/(SQRT(3)*AL109)</f>
        <v>6.2135793056395308</v>
      </c>
      <c r="AM131" s="1875">
        <v>0.10829999999999999</v>
      </c>
      <c r="AN131" s="1876">
        <v>-9.300000000000001E-3</v>
      </c>
      <c r="AO131" s="1874">
        <f>SQRT(AP131^2+AQ131^2)*1000/(SQRT(3)*AO109)</f>
        <v>6.250764094063336</v>
      </c>
      <c r="AP131" s="1875">
        <v>0.10890000000000001</v>
      </c>
      <c r="AQ131" s="1876">
        <v>-9.8999999999999991E-3</v>
      </c>
      <c r="AR131" s="1885"/>
      <c r="AS131" s="1877"/>
      <c r="AT131" s="2009"/>
      <c r="AU131" s="2009"/>
      <c r="AV131" s="2009"/>
    </row>
    <row r="132" spans="1:48" ht="16.5" x14ac:dyDescent="0.25">
      <c r="A132" s="1878" t="s">
        <v>409</v>
      </c>
      <c r="B132" s="1879"/>
      <c r="C132" s="1880"/>
      <c r="D132" s="1881"/>
      <c r="E132" s="1882"/>
      <c r="F132" s="1883"/>
      <c r="G132" s="1884"/>
      <c r="H132" s="1874">
        <f>SQRT(I132^2+J132^2)*1000/(SQRT(3)*H110)</f>
        <v>28.495145785437447</v>
      </c>
      <c r="I132" s="1875">
        <v>0.29160000000000003</v>
      </c>
      <c r="J132" s="1876">
        <v>5.1599999999999993E-2</v>
      </c>
      <c r="K132" s="1874">
        <f>SQRT(L132^2+M132^2)*1000/(SQRT(3)*K110)</f>
        <v>28.448432880096107</v>
      </c>
      <c r="L132" s="1875">
        <v>0.29099999999999998</v>
      </c>
      <c r="M132" s="1876">
        <v>5.2200000000000003E-2</v>
      </c>
      <c r="N132" s="1874">
        <f>SQRT(O132^2+P132^2)*1000/(SQRT(3)*N110)</f>
        <v>28.71248276737257</v>
      </c>
      <c r="O132" s="1875">
        <v>0.29460000000000003</v>
      </c>
      <c r="P132" s="1876">
        <v>4.7400000000000005E-2</v>
      </c>
      <c r="Q132" s="1874">
        <f>SQRT(R132^2+S132^2)*1000/(SQRT(3)*Q110)</f>
        <v>29.581807472386355</v>
      </c>
      <c r="R132" s="1875">
        <v>0.30419999999999997</v>
      </c>
      <c r="S132" s="1876">
        <v>4.4400000000000009E-2</v>
      </c>
      <c r="T132" s="1874">
        <f>SQRT(U132^2+V132^2)*1000/(SQRT(3)*T110)</f>
        <v>34.215980671804999</v>
      </c>
      <c r="U132" s="1875">
        <v>0.3528</v>
      </c>
      <c r="V132" s="1876">
        <v>4.4400000000000002E-2</v>
      </c>
      <c r="W132" s="1874">
        <f>SQRT(X132^2+Y132^2)*1000/(SQRT(3)*W110)</f>
        <v>31.682855511038358</v>
      </c>
      <c r="X132" s="1875">
        <v>0.3276</v>
      </c>
      <c r="Y132" s="1876">
        <v>3.3000000000000002E-2</v>
      </c>
      <c r="Z132" s="1874">
        <f>SQRT(AA132^2+AB132^2)*1000/(SQRT(3)*Z110)</f>
        <v>32.659557049455934</v>
      </c>
      <c r="AA132" s="1875">
        <v>0.33779999999999999</v>
      </c>
      <c r="AB132" s="1876">
        <v>3.3000000000000002E-2</v>
      </c>
      <c r="AC132" s="1874">
        <f>SQRT(AD132^2+AE132^2)*1000/(SQRT(3)*AC110)</f>
        <v>33.07607393066273</v>
      </c>
      <c r="AD132" s="1875">
        <v>0.34320000000000001</v>
      </c>
      <c r="AE132" s="1876">
        <v>1.9199999999999998E-2</v>
      </c>
      <c r="AF132" s="1874">
        <f>SQRT(AG132^2+AH132^2)*1000/(SQRT(3)*AF110)</f>
        <v>31.242332392658096</v>
      </c>
      <c r="AG132" s="1875">
        <v>0.32400000000000001</v>
      </c>
      <c r="AH132" s="1876">
        <v>2.1000000000000001E-2</v>
      </c>
      <c r="AI132" s="1874">
        <f>SQRT(AJ132^2+AK132^2)*1000/(SQRT(3)*AI110)</f>
        <v>29.287767639977844</v>
      </c>
      <c r="AJ132" s="1875">
        <v>0.30360000000000004</v>
      </c>
      <c r="AK132" s="1876">
        <v>2.1600000000000001E-2</v>
      </c>
      <c r="AL132" s="1874">
        <f>SQRT(AM132^2+AN132^2)*1000/(SQRT(3)*AL110)</f>
        <v>27.087081791880046</v>
      </c>
      <c r="AM132" s="1875">
        <v>0.28079999999999994</v>
      </c>
      <c r="AN132" s="1876">
        <v>1.9800000000000002E-2</v>
      </c>
      <c r="AO132" s="1874">
        <f>SQRT(AP132^2+AQ132^2)*1000/(SQRT(3)*AO110)</f>
        <v>25.4261020737876</v>
      </c>
      <c r="AP132" s="1875">
        <v>0.26339999999999997</v>
      </c>
      <c r="AQ132" s="1876">
        <v>2.1000000000000001E-2</v>
      </c>
      <c r="AR132" s="284"/>
      <c r="AS132" s="393"/>
    </row>
    <row r="133" spans="1:48" s="2010" customFormat="1" ht="16.5" x14ac:dyDescent="0.25">
      <c r="A133" s="1878" t="s">
        <v>410</v>
      </c>
      <c r="B133" s="1879"/>
      <c r="C133" s="1880"/>
      <c r="D133" s="1881"/>
      <c r="E133" s="1882"/>
      <c r="F133" s="1883"/>
      <c r="G133" s="1884"/>
      <c r="H133" s="1874">
        <f>SQRT(I133^2+J133^2)*1000/(SQRT(3)*H109)</f>
        <v>4.8513504392963585</v>
      </c>
      <c r="I133" s="1875">
        <v>8.48E-2</v>
      </c>
      <c r="J133" s="1876">
        <v>-3.3999999999999994E-3</v>
      </c>
      <c r="K133" s="1874">
        <f>SQRT(L133^2+M133^2)*1000/(SQRT(3)*K109)</f>
        <v>4.9008734192864818</v>
      </c>
      <c r="L133" s="1875">
        <v>8.5599999999999996E-2</v>
      </c>
      <c r="M133" s="1876">
        <v>-4.7999999999999996E-3</v>
      </c>
      <c r="N133" s="1874">
        <f>SQRT(O133^2+P133^2)*1000/(SQRT(3)*N109)</f>
        <v>5.0462682954925997</v>
      </c>
      <c r="O133" s="1875">
        <v>8.7999999999999995E-2</v>
      </c>
      <c r="P133" s="1876">
        <v>-7.0000000000000001E-3</v>
      </c>
      <c r="Q133" s="1874">
        <f>SQRT(R133^2+S133^2)*1000/(SQRT(3)*Q109)</f>
        <v>5.8214341738335511</v>
      </c>
      <c r="R133" s="1875">
        <v>0.1018</v>
      </c>
      <c r="S133" s="1876">
        <v>-2.8E-3</v>
      </c>
      <c r="T133" s="1874">
        <f>SQRT(U133^2+V133^2)*1000/(SQRT(3)*T109)</f>
        <v>6.097091550348364</v>
      </c>
      <c r="U133" s="1875">
        <v>0.1066</v>
      </c>
      <c r="V133" s="1876">
        <v>-3.5999999999999995E-3</v>
      </c>
      <c r="W133" s="1874">
        <f>SQRT(X133^2+Y133^2)*1000/(SQRT(3)*W109)</f>
        <v>6.1881320131872384</v>
      </c>
      <c r="X133" s="1875">
        <v>0.10819999999999999</v>
      </c>
      <c r="Y133" s="1876">
        <v>-3.3999999999999994E-3</v>
      </c>
      <c r="Z133" s="1874">
        <f>SQRT(AA133^2+AB133^2)*1000/(SQRT(3)*Z109)</f>
        <v>6.5434883769940013</v>
      </c>
      <c r="AA133" s="1875">
        <v>0.1144</v>
      </c>
      <c r="AB133" s="1876">
        <v>-4.0000000000000001E-3</v>
      </c>
      <c r="AC133" s="1874">
        <f>SQRT(AD133^2+AE133^2)*1000/(SQRT(3)*AC109)</f>
        <v>6.6331707614745348</v>
      </c>
      <c r="AD133" s="1875">
        <v>0.11600000000000001</v>
      </c>
      <c r="AE133" s="1876">
        <v>-3.0000000000000001E-3</v>
      </c>
      <c r="AF133" s="1874">
        <f>SQRT(AG133^2+AH133^2)*1000/(SQRT(3)*AF109)</f>
        <v>6.3909082400852526</v>
      </c>
      <c r="AG133" s="1875">
        <v>0.11180000000000001</v>
      </c>
      <c r="AH133" s="1876">
        <v>-3.9999999999999948E-4</v>
      </c>
      <c r="AI133" s="1874">
        <f>SQRT(AJ133^2+AK133^2)*1000/(SQRT(3)*AI109)</f>
        <v>5.7380316618349516</v>
      </c>
      <c r="AJ133" s="1875">
        <v>0.1002</v>
      </c>
      <c r="AK133" s="1876">
        <v>-6.0000000000000001E-3</v>
      </c>
      <c r="AL133" s="1874">
        <f>SQRT(AM133^2+AN133^2)*1000/(SQRT(3)*AL109)</f>
        <v>5.0111792157442645</v>
      </c>
      <c r="AM133" s="1875">
        <v>8.7400000000000005E-2</v>
      </c>
      <c r="AN133" s="1876">
        <v>-6.7999999999999996E-3</v>
      </c>
      <c r="AO133" s="1874">
        <f>SQRT(AP133^2+AQ133^2)*1000/(SQRT(3)*AO109)</f>
        <v>4.6104748262038955</v>
      </c>
      <c r="AP133" s="1875">
        <v>8.0399999999999999E-2</v>
      </c>
      <c r="AQ133" s="1876">
        <v>-6.4000000000000003E-3</v>
      </c>
      <c r="AR133" s="1885"/>
      <c r="AS133" s="1877"/>
      <c r="AT133" s="2009"/>
      <c r="AU133" s="2009"/>
      <c r="AV133" s="2009"/>
    </row>
    <row r="134" spans="1:48" ht="16.5" x14ac:dyDescent="0.25">
      <c r="A134" s="1878" t="s">
        <v>411</v>
      </c>
      <c r="B134" s="1879"/>
      <c r="C134" s="1880"/>
      <c r="D134" s="1881"/>
      <c r="E134" s="1882"/>
      <c r="F134" s="1883"/>
      <c r="G134" s="1884"/>
      <c r="H134" s="1874">
        <f>SQRT(I134^2+J134^2)*1000/(SQRT(3)*H109)</f>
        <v>20.12625573680646</v>
      </c>
      <c r="I134" s="1875">
        <v>0.33839999999999998</v>
      </c>
      <c r="J134" s="1876">
        <v>-9.7200000000000009E-2</v>
      </c>
      <c r="K134" s="1874">
        <f>SQRT(L134^2+M134^2)*1000/(SQRT(3)*K109)</f>
        <v>19.855571046884616</v>
      </c>
      <c r="L134" s="1875">
        <v>0.33239999999999997</v>
      </c>
      <c r="M134" s="1876">
        <v>-0.1008</v>
      </c>
      <c r="N134" s="1874">
        <f>SQRT(O134^2+P134^2)*1000/(SQRT(3)*N109)</f>
        <v>20.315557831641819</v>
      </c>
      <c r="O134" s="1875">
        <v>0.34079999999999994</v>
      </c>
      <c r="P134" s="1876">
        <v>-0.10080000000000001</v>
      </c>
      <c r="Q134" s="1874">
        <f>SQRT(R134^2+S134^2)*1000/(SQRT(3)*Q109)</f>
        <v>20.486237164149259</v>
      </c>
      <c r="R134" s="1875">
        <v>0.34320000000000006</v>
      </c>
      <c r="S134" s="1876">
        <v>-0.10319999999999999</v>
      </c>
      <c r="T134" s="1874">
        <f>SQRT(U134^2+V134^2)*1000/(SQRT(3)*T109)</f>
        <v>20.309303219824582</v>
      </c>
      <c r="U134" s="1875">
        <v>0.33960000000000001</v>
      </c>
      <c r="V134" s="1876">
        <v>-0.10440000000000001</v>
      </c>
      <c r="W134" s="1874">
        <f>SQRT(X134^2+Y134^2)*1000/(SQRT(3)*W109)</f>
        <v>20.269413717174864</v>
      </c>
      <c r="X134" s="1875">
        <v>0.33960000000000001</v>
      </c>
      <c r="Y134" s="1876">
        <v>-0.10199999999999999</v>
      </c>
      <c r="Z134" s="1874">
        <f>SQRT(AA134^2+AB134^2)*1000/(SQRT(3)*Z109)</f>
        <v>19.30123297495512</v>
      </c>
      <c r="AA134" s="1875">
        <v>0.32879999999999998</v>
      </c>
      <c r="AB134" s="1876">
        <v>-7.6799999999999993E-2</v>
      </c>
      <c r="AC134" s="1874">
        <f>SQRT(AD134^2+AE134^2)*1000/(SQRT(3)*AC109)</f>
        <v>17.675172540621805</v>
      </c>
      <c r="AD134" s="1875">
        <v>0.30599999999999999</v>
      </c>
      <c r="AE134" s="1876">
        <v>-4.4400000000000002E-2</v>
      </c>
      <c r="AF134" s="1874">
        <f>SQRT(AG134^2+AH134^2)*1000/(SQRT(3)*AF109)</f>
        <v>16.667857357069046</v>
      </c>
      <c r="AG134" s="1875">
        <v>0.28920000000000007</v>
      </c>
      <c r="AH134" s="1876">
        <v>-3.7200000000000004E-2</v>
      </c>
      <c r="AI134" s="1874">
        <f>SQRT(AJ134^2+AK134^2)*1000/(SQRT(3)*AI109)</f>
        <v>15.272449731843459</v>
      </c>
      <c r="AJ134" s="1875">
        <v>0.26520000000000005</v>
      </c>
      <c r="AK134" s="1876">
        <v>-3.2399999999999998E-2</v>
      </c>
      <c r="AL134" s="1874">
        <f>SQRT(AM134^2+AN134^2)*1000/(SQRT(3)*AL109)</f>
        <v>15.332411259034728</v>
      </c>
      <c r="AM134" s="1875">
        <v>0.26639999999999997</v>
      </c>
      <c r="AN134" s="1876">
        <v>-3.1199999999999999E-2</v>
      </c>
      <c r="AO134" s="1874">
        <f>SQRT(AP134^2+AQ134^2)*1000/(SQRT(3)*AO109)</f>
        <v>11.694574060001434</v>
      </c>
      <c r="AP134" s="1875">
        <v>0.20160000000000003</v>
      </c>
      <c r="AQ134" s="1876">
        <v>-3.4799999999999998E-2</v>
      </c>
      <c r="AR134" s="284"/>
      <c r="AS134" s="393"/>
    </row>
    <row r="135" spans="1:48" ht="16.5" x14ac:dyDescent="0.25">
      <c r="A135" s="1878" t="s">
        <v>412</v>
      </c>
      <c r="B135" s="1879"/>
      <c r="C135" s="1880"/>
      <c r="D135" s="1881"/>
      <c r="E135" s="1882"/>
      <c r="F135" s="1883"/>
      <c r="G135" s="1884"/>
      <c r="H135" s="1874">
        <f>SQRT(I135^2+J135^2)*1000/(SQRT(3)*H109)</f>
        <v>213.01329088099592</v>
      </c>
      <c r="I135" s="1875">
        <v>3.7128000000000001</v>
      </c>
      <c r="J135" s="1876">
        <v>0.318</v>
      </c>
      <c r="K135" s="1874">
        <f>SQRT(L135^2+M135^2)*1000/(SQRT(3)*K109)</f>
        <v>210.75206127167954</v>
      </c>
      <c r="L135" s="1875">
        <v>3.6732</v>
      </c>
      <c r="M135" s="1876">
        <v>0.31679999999999997</v>
      </c>
      <c r="N135" s="1874">
        <f>SQRT(O135^2+P135^2)*1000/(SQRT(3)*N109)</f>
        <v>210.46103131316696</v>
      </c>
      <c r="O135" s="1875">
        <v>3.6696</v>
      </c>
      <c r="P135" s="1876">
        <v>0.29880000000000001</v>
      </c>
      <c r="Q135" s="1874">
        <f>SQRT(R135^2+S135^2)*1000/(SQRT(3)*Q109)</f>
        <v>219.40477892247071</v>
      </c>
      <c r="R135" s="1875">
        <v>3.8256000000000001</v>
      </c>
      <c r="S135" s="1876">
        <v>0.31080000000000002</v>
      </c>
      <c r="T135" s="1874">
        <f>SQRT(U135^2+V135^2)*1000/(SQRT(3)*T109)</f>
        <v>219.99675608733889</v>
      </c>
      <c r="U135" s="1875">
        <v>3.8351999999999999</v>
      </c>
      <c r="V135" s="1876">
        <v>0.32039999999999996</v>
      </c>
      <c r="W135" s="1874">
        <f>SQRT(X135^2+Y135^2)*1000/(SQRT(3)*W109)</f>
        <v>224.70239770103672</v>
      </c>
      <c r="X135" s="1875">
        <v>3.9168000000000003</v>
      </c>
      <c r="Y135" s="1876">
        <v>0.33239999999999997</v>
      </c>
      <c r="Z135" s="1874">
        <f>SQRT(AA135^2+AB135^2)*1000/(SQRT(3)*Z109)</f>
        <v>227.84787953846637</v>
      </c>
      <c r="AA135" s="1875">
        <v>3.9731999999999998</v>
      </c>
      <c r="AB135" s="1876">
        <v>0.318</v>
      </c>
      <c r="AC135" s="1874">
        <f>SQRT(AD135^2+AE135^2)*1000/(SQRT(3)*AC109)</f>
        <v>222.87016727157726</v>
      </c>
      <c r="AD135" s="1875">
        <v>3.8868</v>
      </c>
      <c r="AE135" s="1876">
        <v>0.30599999999999999</v>
      </c>
      <c r="AF135" s="1874">
        <f>SQRT(AG135^2+AH135^2)*1000/(SQRT(3)*AF109)</f>
        <v>211.02475195263915</v>
      </c>
      <c r="AG135" s="1875">
        <v>3.6791999999999998</v>
      </c>
      <c r="AH135" s="1876">
        <v>0.3024</v>
      </c>
      <c r="AI135" s="1874">
        <f>SQRT(AJ135^2+AK135^2)*1000/(SQRT(3)*AI109)</f>
        <v>193.70699866861455</v>
      </c>
      <c r="AJ135" s="1875">
        <v>3.3768000000000002</v>
      </c>
      <c r="AK135" s="1876">
        <v>0.28320000000000001</v>
      </c>
      <c r="AL135" s="1874">
        <f>SQRT(AM135^2+AN135^2)*1000/(SQRT(3)*AL109)</f>
        <v>172.22726486154866</v>
      </c>
      <c r="AM135" s="1875">
        <v>3.0011999999999999</v>
      </c>
      <c r="AN135" s="1876">
        <v>0.26519999999999999</v>
      </c>
      <c r="AO135" s="1874">
        <f>SQRT(AP135^2+AQ135^2)*1000/(SQRT(3)*AO109)</f>
        <v>153.98490397404834</v>
      </c>
      <c r="AP135" s="1875">
        <v>2.6808000000000001</v>
      </c>
      <c r="AQ135" s="1876">
        <v>0.26400000000000001</v>
      </c>
      <c r="AR135" s="284"/>
      <c r="AS135" s="393"/>
    </row>
    <row r="136" spans="1:48" s="2010" customFormat="1" ht="17.25" thickBot="1" x14ac:dyDescent="0.3">
      <c r="A136" s="1878" t="s">
        <v>413</v>
      </c>
      <c r="B136" s="1879"/>
      <c r="C136" s="1880"/>
      <c r="D136" s="1881"/>
      <c r="E136" s="1882"/>
      <c r="F136" s="1883"/>
      <c r="G136" s="1884"/>
      <c r="H136" s="1888">
        <f>SQRT(I136^2+J136^2)*1000/(SQRT(3)*H109)</f>
        <v>5.9565133236982337</v>
      </c>
      <c r="I136" s="1875">
        <v>0.1014</v>
      </c>
      <c r="J136" s="1876">
        <v>-2.4E-2</v>
      </c>
      <c r="K136" s="1888">
        <f>SQRT(L136^2+M136^2)*1000/(SQRT(3)*K109)</f>
        <v>5.9311806606287734</v>
      </c>
      <c r="L136" s="1875">
        <v>0.1008</v>
      </c>
      <c r="M136" s="1876">
        <v>-2.46E-2</v>
      </c>
      <c r="N136" s="1888">
        <f>SQRT(O136^2+P136^2)*1000/(SQRT(3)*N109)</f>
        <v>6.0314829348586274</v>
      </c>
      <c r="O136" s="1875">
        <v>0.10199999999999999</v>
      </c>
      <c r="P136" s="1876">
        <v>-2.7E-2</v>
      </c>
      <c r="Q136" s="1888">
        <f>SQRT(R136^2+S136^2)*1000/(SQRT(3)*Q109)</f>
        <v>6.3887399721327149</v>
      </c>
      <c r="R136" s="1875">
        <v>0.10859999999999999</v>
      </c>
      <c r="S136" s="1876">
        <v>-2.64E-2</v>
      </c>
      <c r="T136" s="1888">
        <f>SQRT(U136^2+V136^2)*1000/(SQRT(3)*T109)</f>
        <v>6.8304777240419634</v>
      </c>
      <c r="U136" s="1875">
        <v>0.1164</v>
      </c>
      <c r="V136" s="1876">
        <v>-2.7E-2</v>
      </c>
      <c r="W136" s="1888">
        <f>SQRT(X136^2+Y136^2)*1000/(SQRT(3)*W109)</f>
        <v>7.0052846017653154</v>
      </c>
      <c r="X136" s="1875">
        <v>0.11940000000000001</v>
      </c>
      <c r="Y136" s="1876">
        <v>-2.76E-2</v>
      </c>
      <c r="Z136" s="1888">
        <f>SQRT(AA136^2+AB136^2)*1000/(SQRT(3)*Z109)</f>
        <v>7.0310973376558392</v>
      </c>
      <c r="AA136" s="1875">
        <v>0.12</v>
      </c>
      <c r="AB136" s="1876">
        <v>-2.7E-2</v>
      </c>
      <c r="AC136" s="1888">
        <f>SQRT(AD136^2+AE136^2)*1000/(SQRT(3)*AC109)</f>
        <v>7.2880703222900403</v>
      </c>
      <c r="AD136" s="1875">
        <v>0.1242</v>
      </c>
      <c r="AE136" s="1876">
        <v>-2.8799999999999999E-2</v>
      </c>
      <c r="AF136" s="1888">
        <f>SQRT(AG136^2+AH136^2)*1000/(SQRT(3)*AF109)</f>
        <v>6.9797134864481798</v>
      </c>
      <c r="AG136" s="1875">
        <v>0.11880000000000002</v>
      </c>
      <c r="AH136" s="1876">
        <v>-2.8199999999999999E-2</v>
      </c>
      <c r="AI136" s="1888">
        <f>SQRT(AJ136^2+AK136^2)*1000/(SQRT(3)*AI109)</f>
        <v>6.2238414450485973</v>
      </c>
      <c r="AJ136" s="1875">
        <v>0.105</v>
      </c>
      <c r="AK136" s="1876">
        <v>-2.8799999999999999E-2</v>
      </c>
      <c r="AL136" s="1888">
        <f>SQRT(AM136^2+AN136^2)*1000/(SQRT(3)*AL109)</f>
        <v>6.073464568555857</v>
      </c>
      <c r="AM136" s="1875">
        <v>0.1026</v>
      </c>
      <c r="AN136" s="1876">
        <v>-2.76E-2</v>
      </c>
      <c r="AO136" s="1888">
        <f>SQRT(AP136^2+AQ136^2)*1000/(SQRT(3)*AO109)</f>
        <v>5.4086599623179854</v>
      </c>
      <c r="AP136" s="1875">
        <v>9.1200000000000003E-2</v>
      </c>
      <c r="AQ136" s="1876">
        <v>-2.52E-2</v>
      </c>
      <c r="AR136" s="1885"/>
      <c r="AS136" s="1877"/>
      <c r="AT136" s="2009"/>
      <c r="AU136" s="2009"/>
      <c r="AV136" s="2009"/>
    </row>
    <row r="137" spans="1:48" ht="16.5" x14ac:dyDescent="0.25">
      <c r="A137" s="2456" t="s">
        <v>102</v>
      </c>
      <c r="B137" s="2457"/>
      <c r="C137" s="2457"/>
      <c r="D137" s="2457"/>
      <c r="E137" s="2457"/>
      <c r="F137" s="2457"/>
      <c r="G137" s="2458"/>
      <c r="H137" s="1889">
        <f>H121+H122+H125+H127+H128+H126+H123+H124</f>
        <v>269.04684311715954</v>
      </c>
      <c r="I137" s="1890">
        <f>I121+I122+I125+I127+I128+I126+I123+I124</f>
        <v>4.6699000000000002</v>
      </c>
      <c r="J137" s="1891">
        <f>J121+J122+J125+J127+J128+J126+J123+J124</f>
        <v>0.2735999999999999</v>
      </c>
      <c r="K137" s="1889">
        <f t="shared" ref="K137:AQ137" si="8">K121+K122+K125+K127+K128+K126+K123+K124</f>
        <v>273.82270880399824</v>
      </c>
      <c r="L137" s="1890">
        <f t="shared" si="8"/>
        <v>4.7499000000000002</v>
      </c>
      <c r="M137" s="1891">
        <f t="shared" si="8"/>
        <v>0.28329999999999994</v>
      </c>
      <c r="N137" s="1889">
        <f t="shared" si="8"/>
        <v>272.86714447642112</v>
      </c>
      <c r="O137" s="1890">
        <f t="shared" si="8"/>
        <v>4.7374999999999998</v>
      </c>
      <c r="P137" s="1891">
        <f t="shared" si="8"/>
        <v>0.2752</v>
      </c>
      <c r="Q137" s="1889">
        <f t="shared" si="8"/>
        <v>283.69124491394928</v>
      </c>
      <c r="R137" s="1890">
        <f t="shared" si="8"/>
        <v>4.9251000000000014</v>
      </c>
      <c r="S137" s="1891">
        <f t="shared" si="8"/>
        <v>0.2720999999999999</v>
      </c>
      <c r="T137" s="1889">
        <f t="shared" si="8"/>
        <v>286.67019396482959</v>
      </c>
      <c r="U137" s="1890">
        <f t="shared" si="8"/>
        <v>4.9748999999999981</v>
      </c>
      <c r="V137" s="1891">
        <f t="shared" si="8"/>
        <v>0.26990000000000008</v>
      </c>
      <c r="W137" s="1889">
        <f t="shared" si="8"/>
        <v>292.96313901360679</v>
      </c>
      <c r="X137" s="1890">
        <f t="shared" si="8"/>
        <v>5.0850999999999997</v>
      </c>
      <c r="Y137" s="1891">
        <f t="shared" si="8"/>
        <v>0.28980000000000006</v>
      </c>
      <c r="Z137" s="1889">
        <f t="shared" si="8"/>
        <v>292.47203271853152</v>
      </c>
      <c r="AA137" s="1890">
        <f t="shared" si="8"/>
        <v>5.0781999999999998</v>
      </c>
      <c r="AB137" s="1891">
        <f t="shared" si="8"/>
        <v>0.23760000000000003</v>
      </c>
      <c r="AC137" s="1889">
        <f t="shared" si="8"/>
        <v>283.62519423164207</v>
      </c>
      <c r="AD137" s="1890">
        <f t="shared" si="8"/>
        <v>4.9241999999999999</v>
      </c>
      <c r="AE137" s="1891">
        <f t="shared" si="8"/>
        <v>0.25850000000000006</v>
      </c>
      <c r="AF137" s="1889">
        <f t="shared" si="8"/>
        <v>264.23141066838866</v>
      </c>
      <c r="AG137" s="1890">
        <f t="shared" si="8"/>
        <v>4.5835999999999997</v>
      </c>
      <c r="AH137" s="1891">
        <f t="shared" si="8"/>
        <v>0.23219999999999991</v>
      </c>
      <c r="AI137" s="1889">
        <f t="shared" si="8"/>
        <v>244.38784676488828</v>
      </c>
      <c r="AJ137" s="1890">
        <f t="shared" si="8"/>
        <v>4.2383000000000006</v>
      </c>
      <c r="AK137" s="1891">
        <f t="shared" si="8"/>
        <v>0.24810000000000001</v>
      </c>
      <c r="AL137" s="1889">
        <f t="shared" si="8"/>
        <v>218.76844547252571</v>
      </c>
      <c r="AM137" s="1890">
        <f t="shared" si="8"/>
        <v>3.7880000000000003</v>
      </c>
      <c r="AN137" s="1891">
        <f t="shared" si="8"/>
        <v>0.24519999999999983</v>
      </c>
      <c r="AO137" s="1889">
        <f t="shared" si="8"/>
        <v>182.89834578862451</v>
      </c>
      <c r="AP137" s="1890">
        <f t="shared" si="8"/>
        <v>3.1636999999999995</v>
      </c>
      <c r="AQ137" s="1891">
        <f t="shared" si="8"/>
        <v>0.21210000000000001</v>
      </c>
      <c r="AR137" s="284"/>
      <c r="AS137" s="393"/>
    </row>
    <row r="138" spans="1:48" ht="17.25" thickBot="1" x14ac:dyDescent="0.3">
      <c r="A138" s="2459" t="s">
        <v>103</v>
      </c>
      <c r="B138" s="2460"/>
      <c r="C138" s="2460"/>
      <c r="D138" s="2460"/>
      <c r="E138" s="2460"/>
      <c r="F138" s="2460"/>
      <c r="G138" s="2461"/>
      <c r="H138" s="1893">
        <f>H131+H133+H134+H135+H130+H136+H129</f>
        <v>252.21276467669483</v>
      </c>
      <c r="I138" s="1894">
        <f>I131+I133+I134+I135+I130+I136+I129+I132</f>
        <v>4.6723999999999997</v>
      </c>
      <c r="J138" s="1895">
        <f>J131+J133+J134+J135+J130+J136+J129+J132</f>
        <v>0.22849999999999998</v>
      </c>
      <c r="K138" s="1893">
        <f>K131+K133+K134+K135+K130+K136+K129</f>
        <v>249.67783585085846</v>
      </c>
      <c r="L138" s="1894">
        <f>L131+L133+L134+L135+L130+L136+L129+L132</f>
        <v>4.6264000000000003</v>
      </c>
      <c r="M138" s="1895">
        <f>M131+M133+M134+M135+M130+M136+M129+M132</f>
        <v>0.22619999999999996</v>
      </c>
      <c r="N138" s="1893">
        <f>N131+N133+N134+N135+N130+N136+N129</f>
        <v>250.15836154229174</v>
      </c>
      <c r="O138" s="1894">
        <f>O131+O133+O134+O135+O130+O136+O129+O132</f>
        <v>4.6393000000000004</v>
      </c>
      <c r="P138" s="1895">
        <f>P131+P133+P134+P135+P130+P136+P129+P132</f>
        <v>0.1961</v>
      </c>
      <c r="Q138" s="1893">
        <f>Q131+Q133+Q134+Q135+Q130+Q136+Q129</f>
        <v>260.50690863994521</v>
      </c>
      <c r="R138" s="1894">
        <f>R131+R133+R134+R135+R130+R136+R129+R132</f>
        <v>4.8295000000000003</v>
      </c>
      <c r="S138" s="1895">
        <f>S131+S133+S134+S135+S130+S136+S129+S132</f>
        <v>0.20750000000000007</v>
      </c>
      <c r="T138" s="1893">
        <f>T131+T133+T134+T135+T130+T136+T129</f>
        <v>261.69398837009169</v>
      </c>
      <c r="U138" s="1894">
        <f>U131+U133+U134+U135+U130+U136+U129+U132</f>
        <v>4.8975999999999997</v>
      </c>
      <c r="V138" s="1895">
        <f>V131+V133+V134+V135+V130+V136+V129+V132</f>
        <v>0.21449999999999994</v>
      </c>
      <c r="W138" s="1893">
        <f>W131+W133+W134+W135+W130+W136+W129</f>
        <v>266.39884322626102</v>
      </c>
      <c r="X138" s="1894">
        <f>X131+X133+X134+X135+X130+X136+X129+X132</f>
        <v>4.9547000000000008</v>
      </c>
      <c r="Y138" s="1895">
        <f>Y131+Y133+Y134+Y135+Y130+Y136+Y129+Y132</f>
        <v>0.21769999999999998</v>
      </c>
      <c r="Z138" s="1893">
        <f>Z131+Z133+Z134+Z135+Z130+Z136+Z129</f>
        <v>269.18885925481527</v>
      </c>
      <c r="AA138" s="1894">
        <f>AA131+AA133+AA134+AA135+AA130+AA136+AA129+AA132</f>
        <v>5.0211999999999994</v>
      </c>
      <c r="AB138" s="1895">
        <f>AB131+AB133+AB134+AB135+AB130+AB136+AB129+AB132</f>
        <v>0.22700000000000001</v>
      </c>
      <c r="AC138" s="1893">
        <f>AC131+AC133+AC134+AC135+AC130+AC136+AC129</f>
        <v>263.18402990953291</v>
      </c>
      <c r="AD138" s="1894">
        <f>AD131+AD133+AD134+AD135+AD130+AD136+AD129+AD132</f>
        <v>4.9277000000000006</v>
      </c>
      <c r="AE138" s="1895">
        <f>AE131+AE133+AE134+AE135+AE130+AE136+AE129+AE132</f>
        <v>0.23249999999999998</v>
      </c>
      <c r="AF138" s="1893">
        <f>AF131+AF133+AF134+AF135+AF130+AF136+AF129</f>
        <v>249.42225842551042</v>
      </c>
      <c r="AG138" s="1894">
        <f>AG131+AG133+AG134+AG135+AG130+AG136+AG129+AG132</f>
        <v>4.6681999999999997</v>
      </c>
      <c r="AH138" s="1895">
        <f>AH131+AH133+AH134+AH135+AH130+AH136+AH129+AH132</f>
        <v>0.24110000000000001</v>
      </c>
      <c r="AI138" s="1893">
        <f>AI131+AI133+AI134+AI135+AI130+AI136+AI129</f>
        <v>229.23948782534194</v>
      </c>
      <c r="AJ138" s="1894">
        <f>AJ131+AJ133+AJ134+AJ135+AJ130+AJ136+AJ129+AJ132</f>
        <v>4.2948000000000004</v>
      </c>
      <c r="AK138" s="1895">
        <f>AK131+AK133+AK134+AK135+AK130+AK136+AK129+AK132</f>
        <v>0.2205</v>
      </c>
      <c r="AL138" s="1893">
        <f>AL131+AL133+AL134+AL135+AL130+AL136+AL129</f>
        <v>206.47618870748909</v>
      </c>
      <c r="AM138" s="1894">
        <f>AM131+AM133+AM134+AM135+AM130+AM136+AM129+AM132</f>
        <v>3.8742999999999999</v>
      </c>
      <c r="AN138" s="1895">
        <f>AN131+AN133+AN134+AN135+AN130+AN136+AN129+AN132</f>
        <v>0.20380000000000001</v>
      </c>
      <c r="AO138" s="1893">
        <f>AO131+AO133+AO134+AO135+AO130+AO136+AO129</f>
        <v>183.42628474704802</v>
      </c>
      <c r="AP138" s="1894">
        <f>AP131+AP133+AP134+AP135+AP130+AP136+AP129+AP132</f>
        <v>3.4514999999999998</v>
      </c>
      <c r="AQ138" s="1895">
        <f>AQ131+AQ133+AQ134+AQ135+AQ130+AQ136+AQ129+AQ132</f>
        <v>0.20300000000000001</v>
      </c>
      <c r="AR138" s="284"/>
      <c r="AS138" s="393"/>
    </row>
    <row r="139" spans="1:48" ht="17.25" thickBot="1" x14ac:dyDescent="0.3">
      <c r="A139" s="2462" t="s">
        <v>104</v>
      </c>
      <c r="B139" s="2463"/>
      <c r="C139" s="2463"/>
      <c r="D139" s="2463"/>
      <c r="E139" s="2463"/>
      <c r="F139" s="2463"/>
      <c r="G139" s="2463"/>
      <c r="H139" s="1896">
        <f t="shared" ref="H139:AQ139" si="9">H137+H138</f>
        <v>521.25960779385434</v>
      </c>
      <c r="I139" s="1897">
        <f t="shared" si="9"/>
        <v>9.3422999999999998</v>
      </c>
      <c r="J139" s="1898">
        <f t="shared" si="9"/>
        <v>0.50209999999999988</v>
      </c>
      <c r="K139" s="1896">
        <f t="shared" si="9"/>
        <v>523.50054465485664</v>
      </c>
      <c r="L139" s="1897">
        <f t="shared" si="9"/>
        <v>9.3763000000000005</v>
      </c>
      <c r="M139" s="1898">
        <f t="shared" si="9"/>
        <v>0.50949999999999984</v>
      </c>
      <c r="N139" s="1896">
        <f t="shared" si="9"/>
        <v>523.0255060187128</v>
      </c>
      <c r="O139" s="1897">
        <f t="shared" si="9"/>
        <v>9.3767999999999994</v>
      </c>
      <c r="P139" s="1898">
        <f t="shared" si="9"/>
        <v>0.4713</v>
      </c>
      <c r="Q139" s="1896">
        <f t="shared" si="9"/>
        <v>544.19815355389449</v>
      </c>
      <c r="R139" s="1897">
        <f t="shared" si="9"/>
        <v>9.7546000000000017</v>
      </c>
      <c r="S139" s="1898">
        <f t="shared" si="9"/>
        <v>0.47959999999999997</v>
      </c>
      <c r="T139" s="1896">
        <f t="shared" si="9"/>
        <v>548.36418233492122</v>
      </c>
      <c r="U139" s="1897">
        <f t="shared" si="9"/>
        <v>9.8724999999999987</v>
      </c>
      <c r="V139" s="1898">
        <f t="shared" si="9"/>
        <v>0.48440000000000005</v>
      </c>
      <c r="W139" s="1896">
        <f t="shared" si="9"/>
        <v>559.36198223986776</v>
      </c>
      <c r="X139" s="1897">
        <f t="shared" si="9"/>
        <v>10.0398</v>
      </c>
      <c r="Y139" s="1898">
        <f t="shared" si="9"/>
        <v>0.50750000000000006</v>
      </c>
      <c r="Z139" s="1896">
        <f t="shared" si="9"/>
        <v>561.66089197334679</v>
      </c>
      <c r="AA139" s="1897">
        <f t="shared" si="9"/>
        <v>10.099399999999999</v>
      </c>
      <c r="AB139" s="1898">
        <f t="shared" si="9"/>
        <v>0.46460000000000001</v>
      </c>
      <c r="AC139" s="1896">
        <f t="shared" si="9"/>
        <v>546.80922414117504</v>
      </c>
      <c r="AD139" s="1897">
        <f t="shared" si="9"/>
        <v>9.8519000000000005</v>
      </c>
      <c r="AE139" s="1898">
        <f t="shared" si="9"/>
        <v>0.49100000000000005</v>
      </c>
      <c r="AF139" s="1896">
        <f t="shared" si="9"/>
        <v>513.65366909389911</v>
      </c>
      <c r="AG139" s="1897">
        <f t="shared" si="9"/>
        <v>9.2517999999999994</v>
      </c>
      <c r="AH139" s="1898">
        <f t="shared" si="9"/>
        <v>0.47329999999999994</v>
      </c>
      <c r="AI139" s="1896">
        <f t="shared" si="9"/>
        <v>473.62733459023025</v>
      </c>
      <c r="AJ139" s="1897">
        <f t="shared" si="9"/>
        <v>8.533100000000001</v>
      </c>
      <c r="AK139" s="1898">
        <f t="shared" si="9"/>
        <v>0.46860000000000002</v>
      </c>
      <c r="AL139" s="1896">
        <f t="shared" si="9"/>
        <v>425.24463418001483</v>
      </c>
      <c r="AM139" s="1897">
        <f t="shared" si="9"/>
        <v>7.6623000000000001</v>
      </c>
      <c r="AN139" s="1898">
        <f t="shared" si="9"/>
        <v>0.44899999999999984</v>
      </c>
      <c r="AO139" s="1896">
        <f t="shared" si="9"/>
        <v>366.32463053567255</v>
      </c>
      <c r="AP139" s="1897">
        <f t="shared" si="9"/>
        <v>6.6151999999999997</v>
      </c>
      <c r="AQ139" s="1898">
        <f t="shared" si="9"/>
        <v>0.41510000000000002</v>
      </c>
      <c r="AR139" s="284"/>
      <c r="AS139" s="393"/>
    </row>
    <row r="140" spans="1:48" ht="17.25" thickBot="1" x14ac:dyDescent="0.3">
      <c r="A140" s="1899"/>
      <c r="B140" s="1801"/>
      <c r="C140" s="1858"/>
      <c r="D140" s="1860"/>
      <c r="E140" s="1861"/>
      <c r="F140" s="1860"/>
      <c r="G140" s="1861"/>
      <c r="H140" s="1862"/>
      <c r="I140" s="1860"/>
      <c r="J140" s="626"/>
      <c r="K140" s="1862"/>
      <c r="L140" s="1860"/>
      <c r="M140" s="1860"/>
      <c r="N140" s="1862"/>
      <c r="O140" s="1860"/>
      <c r="P140" s="1860"/>
      <c r="Q140" s="1862"/>
      <c r="R140" s="1860"/>
      <c r="S140" s="1860"/>
      <c r="T140" s="1862"/>
      <c r="U140" s="1860"/>
      <c r="V140" s="1860"/>
      <c r="W140" s="1862"/>
      <c r="X140" s="1860"/>
      <c r="Y140" s="1860"/>
      <c r="Z140" s="1862"/>
      <c r="AA140" s="1860"/>
      <c r="AB140" s="1860"/>
      <c r="AC140" s="1862"/>
      <c r="AD140" s="1860"/>
      <c r="AE140" s="1860"/>
      <c r="AF140" s="1862"/>
      <c r="AG140" s="1860"/>
      <c r="AH140" s="1860"/>
      <c r="AI140" s="1862"/>
      <c r="AJ140" s="1860"/>
      <c r="AK140" s="1860"/>
      <c r="AL140" s="1862"/>
      <c r="AM140" s="1860"/>
      <c r="AN140" s="1860"/>
      <c r="AO140" s="1862"/>
      <c r="AP140" s="1860"/>
      <c r="AQ140" s="1860"/>
    </row>
    <row r="141" spans="1:48" ht="16.5" x14ac:dyDescent="0.25">
      <c r="A141" s="2430" t="s">
        <v>40</v>
      </c>
      <c r="B141" s="2431"/>
      <c r="C141" s="2431"/>
      <c r="D141" s="2466" t="s">
        <v>5</v>
      </c>
      <c r="E141" s="2467"/>
      <c r="F141" s="2467" t="s">
        <v>6</v>
      </c>
      <c r="G141" s="2468"/>
      <c r="H141" s="1808" t="s">
        <v>4</v>
      </c>
      <c r="I141" s="1809" t="s">
        <v>9</v>
      </c>
      <c r="J141" s="1810" t="s">
        <v>10</v>
      </c>
      <c r="K141" s="1808" t="s">
        <v>4</v>
      </c>
      <c r="L141" s="1809" t="s">
        <v>9</v>
      </c>
      <c r="M141" s="1810" t="s">
        <v>10</v>
      </c>
      <c r="N141" s="1808" t="s">
        <v>4</v>
      </c>
      <c r="O141" s="1809" t="s">
        <v>9</v>
      </c>
      <c r="P141" s="1810" t="s">
        <v>10</v>
      </c>
      <c r="Q141" s="1808" t="s">
        <v>4</v>
      </c>
      <c r="R141" s="1809" t="s">
        <v>9</v>
      </c>
      <c r="S141" s="1810" t="s">
        <v>10</v>
      </c>
      <c r="T141" s="1808" t="s">
        <v>4</v>
      </c>
      <c r="U141" s="1809" t="s">
        <v>9</v>
      </c>
      <c r="V141" s="1810" t="s">
        <v>10</v>
      </c>
      <c r="W141" s="1808" t="s">
        <v>4</v>
      </c>
      <c r="X141" s="1809" t="s">
        <v>9</v>
      </c>
      <c r="Y141" s="1810" t="s">
        <v>10</v>
      </c>
      <c r="Z141" s="1808" t="s">
        <v>4</v>
      </c>
      <c r="AA141" s="1809" t="s">
        <v>9</v>
      </c>
      <c r="AB141" s="1810" t="s">
        <v>10</v>
      </c>
      <c r="AC141" s="1808" t="s">
        <v>4</v>
      </c>
      <c r="AD141" s="1809" t="s">
        <v>9</v>
      </c>
      <c r="AE141" s="1810" t="s">
        <v>10</v>
      </c>
      <c r="AF141" s="1808" t="s">
        <v>4</v>
      </c>
      <c r="AG141" s="1809" t="s">
        <v>9</v>
      </c>
      <c r="AH141" s="1810" t="s">
        <v>10</v>
      </c>
      <c r="AI141" s="1808" t="s">
        <v>4</v>
      </c>
      <c r="AJ141" s="1809" t="s">
        <v>9</v>
      </c>
      <c r="AK141" s="1810" t="s">
        <v>10</v>
      </c>
      <c r="AL141" s="1808" t="s">
        <v>4</v>
      </c>
      <c r="AM141" s="1809" t="s">
        <v>9</v>
      </c>
      <c r="AN141" s="1810" t="s">
        <v>10</v>
      </c>
      <c r="AO141" s="1808" t="s">
        <v>4</v>
      </c>
      <c r="AP141" s="1809" t="s">
        <v>9</v>
      </c>
      <c r="AQ141" s="1810" t="s">
        <v>10</v>
      </c>
    </row>
    <row r="142" spans="1:48" ht="17.25" thickBot="1" x14ac:dyDescent="0.3">
      <c r="A142" s="2454" t="s">
        <v>414</v>
      </c>
      <c r="B142" s="2455"/>
      <c r="C142" s="2455"/>
      <c r="D142" s="1900" t="s">
        <v>7</v>
      </c>
      <c r="E142" s="1901" t="s">
        <v>8</v>
      </c>
      <c r="F142" s="1902" t="s">
        <v>7</v>
      </c>
      <c r="G142" s="1903" t="s">
        <v>8</v>
      </c>
      <c r="H142" s="1814" t="s">
        <v>30</v>
      </c>
      <c r="I142" s="1815" t="s">
        <v>31</v>
      </c>
      <c r="J142" s="1816" t="s">
        <v>32</v>
      </c>
      <c r="K142" s="1814" t="s">
        <v>30</v>
      </c>
      <c r="L142" s="1815" t="s">
        <v>31</v>
      </c>
      <c r="M142" s="1816" t="s">
        <v>32</v>
      </c>
      <c r="N142" s="1814" t="s">
        <v>30</v>
      </c>
      <c r="O142" s="1815" t="s">
        <v>31</v>
      </c>
      <c r="P142" s="1816" t="s">
        <v>32</v>
      </c>
      <c r="Q142" s="1814" t="s">
        <v>30</v>
      </c>
      <c r="R142" s="1815" t="s">
        <v>31</v>
      </c>
      <c r="S142" s="1816" t="s">
        <v>32</v>
      </c>
      <c r="T142" s="1814" t="s">
        <v>30</v>
      </c>
      <c r="U142" s="1815" t="s">
        <v>31</v>
      </c>
      <c r="V142" s="1816" t="s">
        <v>32</v>
      </c>
      <c r="W142" s="1814" t="s">
        <v>30</v>
      </c>
      <c r="X142" s="1815" t="s">
        <v>31</v>
      </c>
      <c r="Y142" s="1816" t="s">
        <v>32</v>
      </c>
      <c r="Z142" s="1814" t="s">
        <v>30</v>
      </c>
      <c r="AA142" s="1815" t="s">
        <v>31</v>
      </c>
      <c r="AB142" s="1816" t="s">
        <v>32</v>
      </c>
      <c r="AC142" s="1814" t="s">
        <v>30</v>
      </c>
      <c r="AD142" s="1815" t="s">
        <v>31</v>
      </c>
      <c r="AE142" s="1816" t="s">
        <v>32</v>
      </c>
      <c r="AF142" s="1814" t="s">
        <v>30</v>
      </c>
      <c r="AG142" s="1815" t="s">
        <v>31</v>
      </c>
      <c r="AH142" s="1816" t="s">
        <v>32</v>
      </c>
      <c r="AI142" s="1814" t="s">
        <v>30</v>
      </c>
      <c r="AJ142" s="1815" t="s">
        <v>31</v>
      </c>
      <c r="AK142" s="1816" t="s">
        <v>32</v>
      </c>
      <c r="AL142" s="1814" t="s">
        <v>30</v>
      </c>
      <c r="AM142" s="1815" t="s">
        <v>31</v>
      </c>
      <c r="AN142" s="1816" t="s">
        <v>32</v>
      </c>
      <c r="AO142" s="1814" t="s">
        <v>30</v>
      </c>
      <c r="AP142" s="1815" t="s">
        <v>31</v>
      </c>
      <c r="AQ142" s="1816" t="s">
        <v>32</v>
      </c>
      <c r="AR142" s="284"/>
      <c r="AS142" s="393"/>
    </row>
    <row r="143" spans="1:48" ht="16.5" x14ac:dyDescent="0.25">
      <c r="A143" s="1868" t="s">
        <v>415</v>
      </c>
      <c r="B143" s="1868"/>
      <c r="C143" s="1869"/>
      <c r="D143" s="1870"/>
      <c r="E143" s="1871"/>
      <c r="F143" s="1872"/>
      <c r="G143" s="1873"/>
      <c r="H143" s="1874">
        <f>SQRT(I143^2+J143^2)*1000/(SQRT(3)*H102)</f>
        <v>145.31169257840196</v>
      </c>
      <c r="I143" s="1875">
        <v>1.4774400000000001</v>
      </c>
      <c r="J143" s="1876">
        <v>0.31248000000000004</v>
      </c>
      <c r="K143" s="1874">
        <f>SQRT(L143^2+M143^2)*1000/(SQRT(3)*K102)</f>
        <v>153.54844447274616</v>
      </c>
      <c r="L143" s="1875">
        <v>1.5588000000000002</v>
      </c>
      <c r="M143" s="1876">
        <v>0.34127999999999997</v>
      </c>
      <c r="N143" s="1874">
        <f>SQRT(O143^2+P143^2)*1000/(SQRT(3)*N102)</f>
        <v>154.85108071950933</v>
      </c>
      <c r="O143" s="1875">
        <v>1.5731999999999997</v>
      </c>
      <c r="P143" s="1876">
        <v>0.33876000000000001</v>
      </c>
      <c r="Q143" s="1874">
        <f>SQRT(R143^2+S143^2)*1000/(SQRT(3)*Q102)</f>
        <v>159.92893171655965</v>
      </c>
      <c r="R143" s="1875">
        <v>1.6268400000000001</v>
      </c>
      <c r="S143" s="1876">
        <v>0.34020000000000006</v>
      </c>
      <c r="T143" s="1874">
        <f>SQRT(U143^2+V143^2)*1000/(SQRT(3)*T102)</f>
        <v>153.90785555000107</v>
      </c>
      <c r="U143" s="1875">
        <v>1.5706799999999999</v>
      </c>
      <c r="V143" s="1876">
        <v>0.30204000000000003</v>
      </c>
      <c r="W143" s="1874">
        <f>SQRT(X143^2+Y143^2)*1000/(SQRT(3)*W102)</f>
        <v>144.18017061995729</v>
      </c>
      <c r="X143" s="1875">
        <v>1.4716799999999999</v>
      </c>
      <c r="Y143" s="1876">
        <v>0.28151999999999999</v>
      </c>
      <c r="Z143" s="1874">
        <f>SQRT(AA143^2+AB143^2)*1000/(SQRT(3)*Z102)</f>
        <v>143.20146926620549</v>
      </c>
      <c r="AA143" s="1875">
        <v>1.4616</v>
      </c>
      <c r="AB143" s="1876">
        <v>0.28008</v>
      </c>
      <c r="AC143" s="1874">
        <f>SQRT(AD143^2+AE143^2)*1000/(SQRT(3)*AC102)</f>
        <v>134.85794303636698</v>
      </c>
      <c r="AD143" s="1875">
        <v>1.3762799999999999</v>
      </c>
      <c r="AE143" s="1876">
        <v>0.2646</v>
      </c>
      <c r="AF143" s="1874">
        <f>SQRT(AG143^2+AH143^2)*1000/(SQRT(3)*AF102)</f>
        <v>129.80053466761993</v>
      </c>
      <c r="AG143" s="1875">
        <v>1.32552</v>
      </c>
      <c r="AH143" s="1876">
        <v>0.25020000000000003</v>
      </c>
      <c r="AI143" s="1874">
        <f>SQRT(AJ143^2+AK143^2)*1000/(SQRT(3)*AI102)</f>
        <v>123.89387394056251</v>
      </c>
      <c r="AJ143" s="1875">
        <v>1.2646799999999998</v>
      </c>
      <c r="AK143" s="1876">
        <v>0.24156</v>
      </c>
      <c r="AL143" s="1874">
        <f>SQRT(AM143^2+AN143^2)*1000/(SQRT(3)*AL102)</f>
        <v>111.75126308011021</v>
      </c>
      <c r="AM143" s="1875">
        <v>1.1358000000000001</v>
      </c>
      <c r="AN143" s="1876">
        <v>0.24228</v>
      </c>
      <c r="AO143" s="1874">
        <f>SQRT(AP143^2+AQ143^2)*1000/(SQRT(3)*AO102)</f>
        <v>100.92935747343287</v>
      </c>
      <c r="AP143" s="1875">
        <v>1.0220400000000001</v>
      </c>
      <c r="AQ143" s="1876">
        <v>0.23580000000000001</v>
      </c>
      <c r="AR143" s="284"/>
      <c r="AS143" s="393"/>
      <c r="AT143" s="2011"/>
      <c r="AU143" s="2011"/>
    </row>
    <row r="144" spans="1:48" ht="16.5" x14ac:dyDescent="0.25">
      <c r="A144" s="1879" t="s">
        <v>416</v>
      </c>
      <c r="B144" s="1879"/>
      <c r="C144" s="1880"/>
      <c r="D144" s="1881"/>
      <c r="E144" s="1882"/>
      <c r="F144" s="1883"/>
      <c r="G144" s="1884"/>
      <c r="H144" s="1874">
        <f>SQRT(I144^2+J144^2)*1000/(SQRT(3)*H102)</f>
        <v>3.2360675724300525</v>
      </c>
      <c r="I144" s="1875">
        <v>3.3000000000000002E-2</v>
      </c>
      <c r="J144" s="1876">
        <v>6.4800000000000005E-3</v>
      </c>
      <c r="K144" s="1874">
        <f>SQRT(L144^2+M144^2)*1000/(SQRT(3)*K102)</f>
        <v>2.6639819819210486</v>
      </c>
      <c r="L144" s="1875">
        <v>2.7E-2</v>
      </c>
      <c r="M144" s="1876">
        <v>6.1200000000000004E-3</v>
      </c>
      <c r="N144" s="1874">
        <f>SQRT(O144^2+P144^2)*1000/(SQRT(3)*N102)</f>
        <v>2.7401703110086668</v>
      </c>
      <c r="O144" s="1875">
        <v>2.7960000000000002E-2</v>
      </c>
      <c r="P144" s="1876">
        <v>5.4000000000000003E-3</v>
      </c>
      <c r="Q144" s="1874">
        <f>SQRT(R144^2+S144^2)*1000/(SQRT(3)*Q102)</f>
        <v>2.7525745524266307</v>
      </c>
      <c r="R144" s="1875">
        <v>2.8200000000000003E-2</v>
      </c>
      <c r="S144" s="1876">
        <v>4.7999999999999996E-3</v>
      </c>
      <c r="T144" s="1874">
        <f>SQRT(U144^2+V144^2)*1000/(SQRT(3)*T102)</f>
        <v>3.1797903494832278</v>
      </c>
      <c r="U144" s="1875">
        <v>3.2640000000000002E-2</v>
      </c>
      <c r="V144" s="1876">
        <v>5.1600000000000005E-3</v>
      </c>
      <c r="W144" s="1874">
        <f>SQRT(X144^2+Y144^2)*1000/(SQRT(3)*W102)</f>
        <v>3.5765905552634893</v>
      </c>
      <c r="X144" s="1875">
        <v>3.6719999999999996E-2</v>
      </c>
      <c r="Y144" s="1876">
        <v>5.7599999999999995E-3</v>
      </c>
      <c r="Z144" s="1874">
        <f>SQRT(AA144^2+AB144^2)*1000/(SQRT(3)*Z102)</f>
        <v>3.4625616721342785</v>
      </c>
      <c r="AA144" s="1875">
        <v>3.5519999999999996E-2</v>
      </c>
      <c r="AB144" s="1876">
        <v>5.7599999999999995E-3</v>
      </c>
      <c r="AC144" s="1874">
        <f>SQRT(AD144^2+AE144^2)*1000/(SQRT(3)*AC102)</f>
        <v>3.6504794205693041</v>
      </c>
      <c r="AD144" s="1875">
        <v>3.7440000000000001E-2</v>
      </c>
      <c r="AE144" s="1876">
        <v>6.1200000000000004E-3</v>
      </c>
      <c r="AF144" s="1874">
        <f>SQRT(AG144^2+AH144^2)*1000/(SQRT(3)*AF102)</f>
        <v>3.5177644416115559</v>
      </c>
      <c r="AG144" s="1875">
        <v>3.6119999999999999E-2</v>
      </c>
      <c r="AH144" s="1876">
        <v>5.64E-3</v>
      </c>
      <c r="AI144" s="1874">
        <f>SQRT(AJ144^2+AK144^2)*1000/(SQRT(3)*AI102)</f>
        <v>3.348631561299829</v>
      </c>
      <c r="AJ144" s="1875">
        <v>3.4320000000000003E-2</v>
      </c>
      <c r="AK144" s="1876">
        <v>5.7599999999999995E-3</v>
      </c>
      <c r="AL144" s="1874">
        <f>SQRT(AM144^2+AN144^2)*1000/(SQRT(3)*AL102)</f>
        <v>3.2822959444063939</v>
      </c>
      <c r="AM144" s="1875">
        <v>3.3599999999999991E-2</v>
      </c>
      <c r="AN144" s="1876">
        <v>5.8799999999999998E-3</v>
      </c>
      <c r="AO144" s="1874">
        <f>SQRT(AP144^2+AQ144^2)*1000/(SQRT(3)*AO102)</f>
        <v>2.76504370067937</v>
      </c>
      <c r="AP144" s="1875">
        <v>2.8199999999999999E-2</v>
      </c>
      <c r="AQ144" s="1876">
        <v>5.5199999999999997E-3</v>
      </c>
      <c r="AR144" s="284"/>
      <c r="AS144" s="393"/>
      <c r="AT144" s="2011"/>
      <c r="AU144" s="2011"/>
    </row>
    <row r="145" spans="1:47" ht="16.5" x14ac:dyDescent="0.25">
      <c r="A145" s="1879" t="s">
        <v>417</v>
      </c>
      <c r="B145" s="1879"/>
      <c r="C145" s="1880"/>
      <c r="D145" s="1881"/>
      <c r="E145" s="1882"/>
      <c r="F145" s="1883"/>
      <c r="G145" s="1884"/>
      <c r="H145" s="1874">
        <f>SQRT(I145^2+J145^2)*1000/(SQRT(3)*H102)</f>
        <v>18.480422073102115</v>
      </c>
      <c r="I145" s="1875">
        <v>0.18251999999999999</v>
      </c>
      <c r="J145" s="1876">
        <v>5.9760000000000008E-2</v>
      </c>
      <c r="K145" s="1874">
        <f>SQRT(L145^2+M145^2)*1000/(SQRT(3)*K102)</f>
        <v>18.975247033965065</v>
      </c>
      <c r="L145" s="1875">
        <v>0.18612000000000001</v>
      </c>
      <c r="M145" s="1876">
        <v>6.5159999999999996E-2</v>
      </c>
      <c r="N145" s="1874">
        <f>SQRT(O145^2+P145^2)*1000/(SQRT(3)*N102)</f>
        <v>17.346711503913355</v>
      </c>
      <c r="O145" s="1875">
        <v>0.17244000000000001</v>
      </c>
      <c r="P145" s="1876">
        <v>5.2560000000000003E-2</v>
      </c>
      <c r="Q145" s="1874">
        <f>SQRT(R145^2+S145^2)*1000/(SQRT(3)*Q102)</f>
        <v>18.302131023462813</v>
      </c>
      <c r="R145" s="1875">
        <v>0.18216000000000002</v>
      </c>
      <c r="S145" s="1876">
        <v>5.4719999999999998E-2</v>
      </c>
      <c r="T145" s="1874">
        <f>SQRT(U145^2+V145^2)*1000/(SQRT(3)*T102)</f>
        <v>18.295245283952877</v>
      </c>
      <c r="U145" s="1875">
        <v>0.18107999999999999</v>
      </c>
      <c r="V145" s="1876">
        <v>5.7959999999999998E-2</v>
      </c>
      <c r="W145" s="1874">
        <f>SQRT(X145^2+Y145^2)*1000/(SQRT(3)*W102)</f>
        <v>18.283008505166759</v>
      </c>
      <c r="X145" s="1875">
        <v>0.18036000000000002</v>
      </c>
      <c r="Y145" s="1876">
        <v>5.9760000000000001E-2</v>
      </c>
      <c r="Z145" s="1874">
        <f>SQRT(AA145^2+AB145^2)*1000/(SQRT(3)*Z102)</f>
        <v>16.811174854839862</v>
      </c>
      <c r="AA145" s="1875">
        <v>0.16811999999999999</v>
      </c>
      <c r="AB145" s="1876">
        <v>4.7519999999999993E-2</v>
      </c>
      <c r="AC145" s="1874">
        <f>SQRT(AD145^2+AE145^2)*1000/(SQRT(3)*AC102)</f>
        <v>13.86008657981616</v>
      </c>
      <c r="AD145" s="1875">
        <v>0.13752</v>
      </c>
      <c r="AE145" s="1876">
        <v>4.2840000000000003E-2</v>
      </c>
      <c r="AF145" s="1874">
        <f>SQRT(AG145^2+AH145^2)*1000/(SQRT(3)*AF102)</f>
        <v>8.5507894372391142</v>
      </c>
      <c r="AG145" s="1875">
        <v>8.3159999999999998E-2</v>
      </c>
      <c r="AH145" s="1876">
        <v>3.1320000000000001E-2</v>
      </c>
      <c r="AI145" s="1874">
        <f>SQRT(AJ145^2+AK145^2)*1000/(SQRT(3)*AI102)</f>
        <v>8.1010369706599921</v>
      </c>
      <c r="AJ145" s="1875">
        <v>7.740000000000001E-2</v>
      </c>
      <c r="AK145" s="1876">
        <v>3.3120000000000004E-2</v>
      </c>
      <c r="AL145" s="1874">
        <f>SQRT(AM145^2+AN145^2)*1000/(SQRT(3)*AL102)</f>
        <v>7.6575452985927539</v>
      </c>
      <c r="AM145" s="1875">
        <v>7.2359999999999994E-2</v>
      </c>
      <c r="AN145" s="1876">
        <v>3.3119999999999997E-2</v>
      </c>
      <c r="AO145" s="1874">
        <f>SQRT(AP145^2+AQ145^2)*1000/(SQRT(3)*AO102)</f>
        <v>7.4051603628820901</v>
      </c>
      <c r="AP145" s="1875">
        <v>6.8760000000000002E-2</v>
      </c>
      <c r="AQ145" s="1876">
        <v>3.456E-2</v>
      </c>
      <c r="AR145" s="284"/>
      <c r="AS145" s="393"/>
      <c r="AT145" s="2011"/>
      <c r="AU145" s="2011"/>
    </row>
    <row r="146" spans="1:47" ht="16.5" x14ac:dyDescent="0.25">
      <c r="A146" s="1879" t="s">
        <v>418</v>
      </c>
      <c r="B146" s="1879"/>
      <c r="C146" s="1880"/>
      <c r="D146" s="1881"/>
      <c r="E146" s="1882"/>
      <c r="F146" s="1883"/>
      <c r="G146" s="1884"/>
      <c r="H146" s="1874">
        <f>SQRT(I146^2+J146^2)*1000/(SQRT(3)*H102)</f>
        <v>7.1471392878549658</v>
      </c>
      <c r="I146" s="1875">
        <v>7.2719999999999993E-2</v>
      </c>
      <c r="J146" s="1876">
        <v>1.512E-2</v>
      </c>
      <c r="K146" s="1874">
        <f>SQRT(L146^2+M146^2)*1000/(SQRT(3)*K102)</f>
        <v>7.2905143851445757</v>
      </c>
      <c r="L146" s="1875">
        <v>7.4520000000000003E-2</v>
      </c>
      <c r="M146" s="1876">
        <v>1.3679999999999999E-2</v>
      </c>
      <c r="N146" s="1874">
        <f>SQRT(O146^2+P146^2)*1000/(SQRT(3)*N102)</f>
        <v>7.5075162337486834</v>
      </c>
      <c r="O146" s="1875">
        <v>7.6680000000000012E-2</v>
      </c>
      <c r="P146" s="1876">
        <v>1.4399999999999998E-2</v>
      </c>
      <c r="Q146" s="1874">
        <f>SQRT(R146^2+S146^2)*1000/(SQRT(3)*Q102)</f>
        <v>7.8415814731468556</v>
      </c>
      <c r="R146" s="1875">
        <v>7.9560000000000006E-2</v>
      </c>
      <c r="S146" s="1876">
        <v>1.7639999999999999E-2</v>
      </c>
      <c r="T146" s="1874">
        <f>SQRT(U146^2+V146^2)*1000/(SQRT(3)*T102)</f>
        <v>7.6236998891614318</v>
      </c>
      <c r="U146" s="1875">
        <v>7.740000000000001E-2</v>
      </c>
      <c r="V146" s="1876">
        <v>1.6920000000000001E-2</v>
      </c>
      <c r="W146" s="1874">
        <f>SQRT(X146^2+Y146^2)*1000/(SQRT(3)*W102)</f>
        <v>7.589861658818295</v>
      </c>
      <c r="X146" s="1875">
        <v>7.7039999999999997E-2</v>
      </c>
      <c r="Y146" s="1876">
        <v>1.6920000000000001E-2</v>
      </c>
      <c r="Z146" s="1874">
        <f>SQRT(AA146^2+AB146^2)*1000/(SQRT(3)*Z102)</f>
        <v>7.2898559656552866</v>
      </c>
      <c r="AA146" s="1875">
        <v>7.415999999999999E-2</v>
      </c>
      <c r="AB146" s="1876">
        <v>1.5480000000000001E-2</v>
      </c>
      <c r="AC146" s="1874">
        <f>SQRT(AD146^2+AE146^2)*1000/(SQRT(3)*AC102)</f>
        <v>6.9026951258186111</v>
      </c>
      <c r="AD146" s="1875">
        <v>7.0199999999999999E-2</v>
      </c>
      <c r="AE146" s="1876">
        <v>1.4760000000000001E-2</v>
      </c>
      <c r="AF146" s="1874">
        <f>SQRT(AG146^2+AH146^2)*1000/(SQRT(3)*AF102)</f>
        <v>6.5438520765677444</v>
      </c>
      <c r="AG146" s="1875">
        <v>6.6959999999999992E-2</v>
      </c>
      <c r="AH146" s="1876">
        <v>1.1879999999999998E-2</v>
      </c>
      <c r="AI146" s="1874">
        <f>SQRT(AJ146^2+AK146^2)*1000/(SQRT(3)*AI102)</f>
        <v>6.253063249320288</v>
      </c>
      <c r="AJ146" s="1875">
        <v>6.4079999999999998E-2</v>
      </c>
      <c r="AK146" s="1876">
        <v>1.0800000000000001E-2</v>
      </c>
      <c r="AL146" s="1874">
        <f>SQRT(AM146^2+AN146^2)*1000/(SQRT(3)*AL102)</f>
        <v>5.9916942512114222</v>
      </c>
      <c r="AM146" s="1875">
        <v>6.1560000000000004E-2</v>
      </c>
      <c r="AN146" s="1876">
        <v>9.3600000000000003E-3</v>
      </c>
      <c r="AO146" s="1874">
        <f>SQRT(AP146^2+AQ146^2)*1000/(SQRT(3)*AO102)</f>
        <v>6.0259439094634795</v>
      </c>
      <c r="AP146" s="1875">
        <v>6.1920000000000003E-2</v>
      </c>
      <c r="AQ146" s="1876">
        <v>9.3600000000000003E-3</v>
      </c>
      <c r="AR146" s="284"/>
      <c r="AS146" s="393"/>
      <c r="AT146" s="2011"/>
      <c r="AU146" s="2011"/>
    </row>
    <row r="147" spans="1:47" ht="16.5" x14ac:dyDescent="0.25">
      <c r="A147" s="1879" t="s">
        <v>419</v>
      </c>
      <c r="B147" s="1879"/>
      <c r="C147" s="1880"/>
      <c r="D147" s="1881"/>
      <c r="E147" s="1882"/>
      <c r="F147" s="1883"/>
      <c r="G147" s="1884"/>
      <c r="H147" s="1874">
        <f>SQRT(I147^2+J147^2)*1000/(SQRT(3)*H102)</f>
        <v>147.09748604242017</v>
      </c>
      <c r="I147" s="1875">
        <v>1.48176</v>
      </c>
      <c r="J147" s="1876">
        <v>0.37584000000000001</v>
      </c>
      <c r="K147" s="1874">
        <f>SQRT(L147^2+M147^2)*1000/(SQRT(3)*K102)</f>
        <v>138.15551671938402</v>
      </c>
      <c r="L147" s="1875">
        <v>1.39788</v>
      </c>
      <c r="M147" s="1876">
        <v>0.3276</v>
      </c>
      <c r="N147" s="1874">
        <f>SQRT(O147^2+P147^2)*1000/(SQRT(3)*N102)</f>
        <v>149.63785483626793</v>
      </c>
      <c r="O147" s="1875">
        <v>1.5058800000000001</v>
      </c>
      <c r="P147" s="1876">
        <v>0.38808000000000004</v>
      </c>
      <c r="Q147" s="1874">
        <f>SQRT(R147^2+S147^2)*1000/(SQRT(3)*Q102)</f>
        <v>151.00369002113823</v>
      </c>
      <c r="R147" s="1875">
        <v>1.5231600000000001</v>
      </c>
      <c r="S147" s="1876">
        <v>0.37763999999999998</v>
      </c>
      <c r="T147" s="1874">
        <f>SQRT(U147^2+V147^2)*1000/(SQRT(3)*T102)</f>
        <v>149.20181232143261</v>
      </c>
      <c r="U147" s="1875">
        <v>1.5012000000000001</v>
      </c>
      <c r="V147" s="1876">
        <v>0.38808000000000004</v>
      </c>
      <c r="W147" s="1874">
        <f>SQRT(X147^2+Y147^2)*1000/(SQRT(3)*W102)</f>
        <v>140.86777630104052</v>
      </c>
      <c r="X147" s="1875">
        <v>1.41516</v>
      </c>
      <c r="Y147" s="1876">
        <v>0.37475999999999998</v>
      </c>
      <c r="Z147" s="1874">
        <f>SQRT(AA147^2+AB147^2)*1000/(SQRT(3)*Z102)</f>
        <v>137.21782683018998</v>
      </c>
      <c r="AA147" s="1875">
        <v>1.3791600000000002</v>
      </c>
      <c r="AB147" s="1876">
        <v>0.36252000000000001</v>
      </c>
      <c r="AC147" s="1874">
        <f>SQRT(AD147^2+AE147^2)*1000/(SQRT(3)*AC102)</f>
        <v>133.11133084752777</v>
      </c>
      <c r="AD147" s="1875">
        <v>1.3395599999999999</v>
      </c>
      <c r="AE147" s="1876">
        <v>0.34523999999999999</v>
      </c>
      <c r="AF147" s="1874">
        <f>SQRT(AG147^2+AH147^2)*1000/(SQRT(3)*AF102)</f>
        <v>136.45157822465814</v>
      </c>
      <c r="AG147" s="1875">
        <v>1.3701599999999998</v>
      </c>
      <c r="AH147" s="1876">
        <v>0.3654</v>
      </c>
      <c r="AI147" s="1874">
        <f>SQRT(AJ147^2+AK147^2)*1000/(SQRT(3)*AI102)</f>
        <v>134.62850663956726</v>
      </c>
      <c r="AJ147" s="1875">
        <v>1.3518000000000001</v>
      </c>
      <c r="AK147" s="1876">
        <v>0.36072000000000004</v>
      </c>
      <c r="AL147" s="1874">
        <f>SQRT(AM147^2+AN147^2)*1000/(SQRT(3)*AL102)</f>
        <v>132.75640097562152</v>
      </c>
      <c r="AM147" s="1875">
        <v>1.3327200000000001</v>
      </c>
      <c r="AN147" s="1876">
        <v>0.35675999999999997</v>
      </c>
      <c r="AO147" s="1874">
        <f>SQRT(AP147^2+AQ147^2)*1000/(SQRT(3)*AO102)</f>
        <v>128.9316842362652</v>
      </c>
      <c r="AP147" s="1875">
        <v>1.2945599999999999</v>
      </c>
      <c r="AQ147" s="1876">
        <v>0.34560000000000002</v>
      </c>
      <c r="AR147" s="284"/>
      <c r="AS147" s="393"/>
      <c r="AT147" s="2011"/>
      <c r="AU147" s="2011"/>
    </row>
    <row r="148" spans="1:47" ht="16.5" x14ac:dyDescent="0.25">
      <c r="A148" s="1879" t="s">
        <v>420</v>
      </c>
      <c r="B148" s="1879"/>
      <c r="C148" s="1880"/>
      <c r="D148" s="1881"/>
      <c r="E148" s="1882"/>
      <c r="F148" s="1883"/>
      <c r="G148" s="1884"/>
      <c r="H148" s="1874">
        <f>SQRT(I148^2+J148^2)*1000/(SQRT(3)*H102)</f>
        <v>144.48141195323365</v>
      </c>
      <c r="I148" s="1875">
        <v>1.48176</v>
      </c>
      <c r="J148" s="1876">
        <v>0.24263999999999999</v>
      </c>
      <c r="K148" s="1874">
        <f>SQRT(L148^2+M148^2)*1000/(SQRT(3)*K102)</f>
        <v>144.44811940624217</v>
      </c>
      <c r="L148" s="1875">
        <v>1.4795999999999998</v>
      </c>
      <c r="M148" s="1876">
        <v>0.25344</v>
      </c>
      <c r="N148" s="1874">
        <f>SQRT(O148^2+P148^2)*1000/(SQRT(3)*N102)</f>
        <v>145.02368220397665</v>
      </c>
      <c r="O148" s="1875">
        <v>1.4853600000000002</v>
      </c>
      <c r="P148" s="1876">
        <v>0.25524000000000002</v>
      </c>
      <c r="Q148" s="1874">
        <f>SQRT(R148^2+S148^2)*1000/(SQRT(3)*Q102)</f>
        <v>143.37123142388086</v>
      </c>
      <c r="R148" s="1875">
        <v>1.4688000000000001</v>
      </c>
      <c r="S148" s="1876">
        <v>0.25019999999999998</v>
      </c>
      <c r="T148" s="1874">
        <f>SQRT(U148^2+V148^2)*1000/(SQRT(3)*T102)</f>
        <v>142.23148174718563</v>
      </c>
      <c r="U148" s="1875">
        <v>1.4583599999999999</v>
      </c>
      <c r="V148" s="1876">
        <v>0.24084</v>
      </c>
      <c r="W148" s="1874">
        <f>SQRT(X148^2+Y148^2)*1000/(SQRT(3)*W102)</f>
        <v>139.77128460452809</v>
      </c>
      <c r="X148" s="1875">
        <v>1.4331599999999998</v>
      </c>
      <c r="Y148" s="1876">
        <v>0.23651999999999998</v>
      </c>
      <c r="Z148" s="1874">
        <f>SQRT(AA148^2+AB148^2)*1000/(SQRT(3)*Z102)</f>
        <v>141.71356886339427</v>
      </c>
      <c r="AA148" s="1875">
        <v>1.4533199999999999</v>
      </c>
      <c r="AB148" s="1876">
        <v>0.23832</v>
      </c>
      <c r="AC148" s="1874">
        <f>SQRT(AD148^2+AE148^2)*1000/(SQRT(3)*AC102)</f>
        <v>139.3591891480429</v>
      </c>
      <c r="AD148" s="1875">
        <v>1.43028</v>
      </c>
      <c r="AE148" s="1876">
        <v>0.22751999999999997</v>
      </c>
      <c r="AF148" s="1874">
        <f>SQRT(AG148^2+AH148^2)*1000/(SQRT(3)*AF102)</f>
        <v>133.09848834603648</v>
      </c>
      <c r="AG148" s="1875">
        <v>1.3618800000000002</v>
      </c>
      <c r="AH148" s="1876">
        <v>0.24192000000000002</v>
      </c>
      <c r="AI148" s="1874">
        <f>SQRT(AJ148^2+AK148^2)*1000/(SQRT(3)*AI102)</f>
        <v>121.93543701483992</v>
      </c>
      <c r="AJ148" s="1875">
        <v>1.2455999999999998</v>
      </c>
      <c r="AK148" s="1876">
        <v>0.23292000000000002</v>
      </c>
      <c r="AL148" s="1874">
        <f>SQRT(AM148^2+AN148^2)*1000/(SQRT(3)*AL102)</f>
        <v>112.21804133026026</v>
      </c>
      <c r="AM148" s="1875">
        <v>1.143</v>
      </c>
      <c r="AN148" s="1876">
        <v>0.23148000000000002</v>
      </c>
      <c r="AO148" s="1874">
        <f>SQRT(AP148^2+AQ148^2)*1000/(SQRT(3)*AO102)</f>
        <v>103.53807415632181</v>
      </c>
      <c r="AP148" s="1875">
        <v>1.0511999999999999</v>
      </c>
      <c r="AQ148" s="1876">
        <v>0.22968</v>
      </c>
      <c r="AR148" s="284"/>
      <c r="AS148" s="393"/>
      <c r="AT148" s="2011"/>
      <c r="AU148" s="2011"/>
    </row>
    <row r="149" spans="1:47" ht="16.5" x14ac:dyDescent="0.25">
      <c r="A149" s="1879" t="s">
        <v>421</v>
      </c>
      <c r="B149" s="1879"/>
      <c r="C149" s="1880"/>
      <c r="D149" s="1881"/>
      <c r="E149" s="1882"/>
      <c r="F149" s="1883"/>
      <c r="G149" s="1884"/>
      <c r="H149" s="1874">
        <f>SQRT(I149^2+J149^2)*1000/(SQRT(3)*H110)</f>
        <v>16.114366261196867</v>
      </c>
      <c r="I149" s="1875">
        <v>0.16667999999999999</v>
      </c>
      <c r="J149" s="1876">
        <v>1.6199999999999999E-2</v>
      </c>
      <c r="K149" s="1874">
        <f>SQRT(L149^2+M149^2)*1000/(SQRT(3)*K110)</f>
        <v>15.52489613491826</v>
      </c>
      <c r="L149" s="1875">
        <v>0.16056000000000001</v>
      </c>
      <c r="M149" s="1876">
        <v>1.584E-2</v>
      </c>
      <c r="N149" s="1874">
        <f>SQRT(O149^2+P149^2)*1000/(SQRT(3)*N110)</f>
        <v>14.969929859555121</v>
      </c>
      <c r="O149" s="1875">
        <v>0.15480000000000002</v>
      </c>
      <c r="P149" s="1876">
        <v>1.5480000000000001E-2</v>
      </c>
      <c r="Q149" s="1874">
        <f>SQRT(R149^2+S149^2)*1000/(SQRT(3)*Q110)</f>
        <v>15.249131122788604</v>
      </c>
      <c r="R149" s="1875">
        <v>0.15768000000000001</v>
      </c>
      <c r="S149" s="1876">
        <v>1.584E-2</v>
      </c>
      <c r="T149" s="1874">
        <f>SQRT(U149^2+V149^2)*1000/(SQRT(3)*T110)</f>
        <v>14.473852286105453</v>
      </c>
      <c r="U149" s="1875">
        <v>0.14976</v>
      </c>
      <c r="V149" s="1876">
        <v>1.404E-2</v>
      </c>
      <c r="W149" s="1874">
        <f>SQRT(X149^2+Y149^2)*1000/(SQRT(3)*W110)</f>
        <v>16.073319507805472</v>
      </c>
      <c r="X149" s="1875">
        <v>0.16632</v>
      </c>
      <c r="Y149" s="1876">
        <v>1.5480000000000001E-2</v>
      </c>
      <c r="Z149" s="1874">
        <f>SQRT(AA149^2+AB149^2)*1000/(SQRT(3)*Z110)</f>
        <v>15.270402745179974</v>
      </c>
      <c r="AA149" s="1875">
        <v>0.15804000000000001</v>
      </c>
      <c r="AB149" s="1876">
        <v>1.44E-2</v>
      </c>
      <c r="AC149" s="1874">
        <f>SQRT(AD149^2+AE149^2)*1000/(SQRT(3)*AC110)</f>
        <v>15.157770284576818</v>
      </c>
      <c r="AD149" s="1875">
        <v>0.15695999999999999</v>
      </c>
      <c r="AE149" s="1876">
        <v>1.332E-2</v>
      </c>
      <c r="AF149" s="1874">
        <f>SQRT(AG149^2+AH149^2)*1000/(SQRT(3)*AF110)</f>
        <v>15.872164313665603</v>
      </c>
      <c r="AG149" s="1875">
        <v>0.16451999999999997</v>
      </c>
      <c r="AH149" s="1876">
        <v>1.1879999999999998E-2</v>
      </c>
      <c r="AI149" s="1874">
        <f>SQRT(AJ149^2+AK149^2)*1000/(SQRT(3)*AI110)</f>
        <v>15.083010309616578</v>
      </c>
      <c r="AJ149" s="1875">
        <v>0.15624000000000002</v>
      </c>
      <c r="AK149" s="1876">
        <v>1.2600000000000002E-2</v>
      </c>
      <c r="AL149" s="1874">
        <f>SQRT(AM149^2+AN149^2)*1000/(SQRT(3)*AL110)</f>
        <v>14.988195355011888</v>
      </c>
      <c r="AM149" s="1875">
        <v>0.15515999999999999</v>
      </c>
      <c r="AN149" s="1876">
        <v>1.3679999999999999E-2</v>
      </c>
      <c r="AO149" s="1874">
        <f>SQRT(AP149^2+AQ149^2)*1000/(SQRT(3)*AO110)</f>
        <v>14.295034102792476</v>
      </c>
      <c r="AP149" s="1875">
        <v>0.14795999999999998</v>
      </c>
      <c r="AQ149" s="1876">
        <v>1.332E-2</v>
      </c>
      <c r="AR149" s="284"/>
      <c r="AS149" s="393"/>
      <c r="AT149" s="2011"/>
      <c r="AU149" s="2011"/>
    </row>
    <row r="150" spans="1:47" ht="16.5" x14ac:dyDescent="0.25">
      <c r="A150" s="1879" t="s">
        <v>422</v>
      </c>
      <c r="B150" s="1879"/>
      <c r="C150" s="1880"/>
      <c r="D150" s="1881"/>
      <c r="E150" s="1882"/>
      <c r="F150" s="1883"/>
      <c r="G150" s="1884"/>
      <c r="H150" s="1874">
        <f>SQRT(I150^2+J150^2)*1000/(SQRT(3)*H110)</f>
        <v>174.785568054116</v>
      </c>
      <c r="I150" s="1875">
        <v>1.7838000000000003</v>
      </c>
      <c r="J150" s="1876">
        <v>0.34272000000000002</v>
      </c>
      <c r="K150" s="1874">
        <f>SQRT(L150^2+M150^2)*1000/(SQRT(3)*K110)</f>
        <v>174.10818705620937</v>
      </c>
      <c r="L150" s="1875">
        <v>1.7747999999999999</v>
      </c>
      <c r="M150" s="1876">
        <v>0.35208000000000006</v>
      </c>
      <c r="N150" s="1874">
        <f>SQRT(O150^2+P150^2)*1000/(SQRT(3)*N110)</f>
        <v>172.17241939404812</v>
      </c>
      <c r="O150" s="1875">
        <v>1.75356</v>
      </c>
      <c r="P150" s="1876">
        <v>0.35568</v>
      </c>
      <c r="Q150" s="1874">
        <f>SQRT(R150^2+S150^2)*1000/(SQRT(3)*Q110)</f>
        <v>172.19229947939019</v>
      </c>
      <c r="R150" s="1875">
        <v>1.7542800000000001</v>
      </c>
      <c r="S150" s="1876">
        <v>0.35315999999999997</v>
      </c>
      <c r="T150" s="1874">
        <f>SQRT(U150^2+V150^2)*1000/(SQRT(3)*T110)</f>
        <v>175.12097190228243</v>
      </c>
      <c r="U150" s="1875">
        <v>1.7855999999999999</v>
      </c>
      <c r="V150" s="1876">
        <v>0.35172000000000003</v>
      </c>
      <c r="W150" s="1874">
        <f>SQRT(X150^2+Y150^2)*1000/(SQRT(3)*W110)</f>
        <v>175.80911239182112</v>
      </c>
      <c r="X150" s="1875">
        <v>1.78956</v>
      </c>
      <c r="Y150" s="1876">
        <v>0.36828</v>
      </c>
      <c r="Z150" s="1874">
        <f>SQRT(AA150^2+AB150^2)*1000/(SQRT(3)*Z110)</f>
        <v>177.03666399929705</v>
      </c>
      <c r="AA150" s="1875">
        <v>1.80504</v>
      </c>
      <c r="AB150" s="1876">
        <v>0.35603999999999997</v>
      </c>
      <c r="AC150" s="1874">
        <f>SQRT(AD150^2+AE150^2)*1000/(SQRT(3)*AC110)</f>
        <v>174.86895436297434</v>
      </c>
      <c r="AD150" s="1875">
        <v>1.7823600000000002</v>
      </c>
      <c r="AE150" s="1876">
        <v>0.35460000000000003</v>
      </c>
      <c r="AF150" s="1874">
        <f>SQRT(AG150^2+AH150^2)*1000/(SQRT(3)*AF110)</f>
        <v>162.69778978216021</v>
      </c>
      <c r="AG150" s="1875">
        <v>1.6541999999999999</v>
      </c>
      <c r="AH150" s="1876">
        <v>0.34991999999999995</v>
      </c>
      <c r="AI150" s="1874">
        <f>SQRT(AJ150^2+AK150^2)*1000/(SQRT(3)*AI110)</f>
        <v>155.04960496563672</v>
      </c>
      <c r="AJ150" s="1875">
        <v>1.575</v>
      </c>
      <c r="AK150" s="1876">
        <v>0.3402</v>
      </c>
      <c r="AL150" s="1874">
        <f>SQRT(AM150^2+AN150^2)*1000/(SQRT(3)*AL110)</f>
        <v>148.84215935009811</v>
      </c>
      <c r="AM150" s="1875">
        <v>1.50804</v>
      </c>
      <c r="AN150" s="1876">
        <v>0.34415999999999997</v>
      </c>
      <c r="AO150" s="1874">
        <f>SQRT(AP150^2+AQ150^2)*1000/(SQRT(3)*AO110)</f>
        <v>137.56088833676526</v>
      </c>
      <c r="AP150" s="1875">
        <v>1.38744</v>
      </c>
      <c r="AQ150" s="1876">
        <v>0.34451999999999999</v>
      </c>
      <c r="AR150" s="284"/>
      <c r="AS150" s="393"/>
      <c r="AT150" s="2011"/>
      <c r="AU150" s="2011"/>
    </row>
    <row r="151" spans="1:47" ht="16.5" x14ac:dyDescent="0.25">
      <c r="A151" s="1879" t="s">
        <v>423</v>
      </c>
      <c r="B151" s="1879"/>
      <c r="C151" s="1880"/>
      <c r="D151" s="1881"/>
      <c r="E151" s="1882"/>
      <c r="F151" s="1883"/>
      <c r="G151" s="1884"/>
      <c r="H151" s="1874">
        <f>SQRT(I151^2+J151^2)*1000/(SQRT(3)*H110)</f>
        <v>122.39819238861331</v>
      </c>
      <c r="I151" s="1875">
        <v>1.26468</v>
      </c>
      <c r="J151" s="1876">
        <v>0.13625999999999999</v>
      </c>
      <c r="K151" s="1874">
        <f>SQRT(L151^2+M151^2)*1000/(SQRT(3)*K110)</f>
        <v>121.49203554142962</v>
      </c>
      <c r="L151" s="1875">
        <v>1.25424</v>
      </c>
      <c r="M151" s="1876">
        <v>0.1449</v>
      </c>
      <c r="N151" s="1874">
        <f>SQRT(O151^2+P151^2)*1000/(SQRT(3)*N110)</f>
        <v>121.31877595821679</v>
      </c>
      <c r="O151" s="1875">
        <v>1.2522599999999999</v>
      </c>
      <c r="P151" s="1876">
        <v>0.14634</v>
      </c>
      <c r="Q151" s="1874">
        <f>SQRT(R151^2+S151^2)*1000/(SQRT(3)*Q110)</f>
        <v>130.16287258661742</v>
      </c>
      <c r="R151" s="1875">
        <v>1.34514</v>
      </c>
      <c r="S151" s="1876">
        <v>0.14274000000000001</v>
      </c>
      <c r="T151" s="1874">
        <f>SQRT(U151^2+V151^2)*1000/(SQRT(3)*T110)</f>
        <v>127.93556776752898</v>
      </c>
      <c r="U151" s="1875">
        <v>1.3228200000000001</v>
      </c>
      <c r="V151" s="1876">
        <v>0.13356000000000001</v>
      </c>
      <c r="W151" s="1874">
        <f>SQRT(X151^2+Y151^2)*1000/(SQRT(3)*W110)</f>
        <v>126.20517105095176</v>
      </c>
      <c r="X151" s="1875">
        <v>1.3049999999999999</v>
      </c>
      <c r="Y151" s="1876">
        <v>0.13103999999999999</v>
      </c>
      <c r="Z151" s="1874">
        <f>SQRT(AA151^2+AB151^2)*1000/(SQRT(3)*Z110)</f>
        <v>127.50475285258979</v>
      </c>
      <c r="AA151" s="1875">
        <v>1.3183200000000002</v>
      </c>
      <c r="AB151" s="1876">
        <v>0.13356000000000001</v>
      </c>
      <c r="AC151" s="1874">
        <f>SQRT(AD151^2+AE151^2)*1000/(SQRT(3)*AC110)</f>
        <v>121.44294462833155</v>
      </c>
      <c r="AD151" s="1875">
        <v>1.2564000000000002</v>
      </c>
      <c r="AE151" s="1876">
        <v>0.11952000000000002</v>
      </c>
      <c r="AF151" s="1874">
        <f>SQRT(AG151^2+AH151^2)*1000/(SQRT(3)*AF110)</f>
        <v>109.23279177975814</v>
      </c>
      <c r="AG151" s="1875">
        <v>1.1293199999999999</v>
      </c>
      <c r="AH151" s="1876">
        <v>0.1152</v>
      </c>
      <c r="AI151" s="1874">
        <f>SQRT(AJ151^2+AK151^2)*1000/(SQRT(3)*AI110)</f>
        <v>102.81444548311292</v>
      </c>
      <c r="AJ151" s="1875">
        <v>1.06254</v>
      </c>
      <c r="AK151" s="1876">
        <v>0.1125</v>
      </c>
      <c r="AL151" s="1874">
        <f>SQRT(AM151^2+AN151^2)*1000/(SQRT(3)*AL110)</f>
        <v>97.442994104245386</v>
      </c>
      <c r="AM151" s="1875">
        <v>1.00728</v>
      </c>
      <c r="AN151" s="1876">
        <v>0.10421999999999999</v>
      </c>
      <c r="AO151" s="1874">
        <f>SQRT(AP151^2+AQ151^2)*1000/(SQRT(3)*AO110)</f>
        <v>95.958819292444403</v>
      </c>
      <c r="AP151" s="1875">
        <v>0.99162000000000006</v>
      </c>
      <c r="AQ151" s="1876">
        <v>0.10565999999999999</v>
      </c>
      <c r="AR151" s="284"/>
      <c r="AS151" s="393"/>
      <c r="AT151" s="2011"/>
      <c r="AU151" s="2011"/>
    </row>
    <row r="152" spans="1:47" ht="16.5" x14ac:dyDescent="0.25">
      <c r="A152" s="1879" t="s">
        <v>424</v>
      </c>
      <c r="B152" s="1879"/>
      <c r="C152" s="1880"/>
      <c r="D152" s="1881"/>
      <c r="E152" s="1882"/>
      <c r="F152" s="1883"/>
      <c r="G152" s="1884"/>
      <c r="H152" s="1874">
        <f>SQRT(I152^2+J152^2)*1000/(SQRT(3)*H110)</f>
        <v>36.027406234698603</v>
      </c>
      <c r="I152" s="1875">
        <v>0.36756</v>
      </c>
      <c r="J152" s="1876">
        <v>7.1279999999999996E-2</v>
      </c>
      <c r="K152" s="1874">
        <f>SQRT(L152^2+M152^2)*1000/(SQRT(3)*K110)</f>
        <v>36.226752545598117</v>
      </c>
      <c r="L152" s="1875">
        <v>0.37008000000000002</v>
      </c>
      <c r="M152" s="1876">
        <v>6.9120000000000001E-2</v>
      </c>
      <c r="N152" s="1874">
        <f>SQRT(O152^2+P152^2)*1000/(SQRT(3)*N110)</f>
        <v>36.275958981121363</v>
      </c>
      <c r="O152" s="1875">
        <v>0.37079999999999996</v>
      </c>
      <c r="P152" s="1876">
        <v>6.8040000000000003E-2</v>
      </c>
      <c r="Q152" s="1874">
        <f>SQRT(R152^2+S152^2)*1000/(SQRT(3)*Q110)</f>
        <v>36.576467844776921</v>
      </c>
      <c r="R152" s="1875">
        <v>0.37403999999999998</v>
      </c>
      <c r="S152" s="1876">
        <v>6.7680000000000004E-2</v>
      </c>
      <c r="T152" s="1874">
        <f>SQRT(U152^2+V152^2)*1000/(SQRT(3)*T110)</f>
        <v>37.047720577654978</v>
      </c>
      <c r="U152" s="1875">
        <v>0.37908000000000003</v>
      </c>
      <c r="V152" s="1876">
        <v>6.7319999999999991E-2</v>
      </c>
      <c r="W152" s="1874">
        <f>SQRT(X152^2+Y152^2)*1000/(SQRT(3)*W110)</f>
        <v>36.325528213640602</v>
      </c>
      <c r="X152" s="1875">
        <v>0.37151999999999996</v>
      </c>
      <c r="Y152" s="1876">
        <v>6.6959999999999992E-2</v>
      </c>
      <c r="Z152" s="1874">
        <f>SQRT(AA152^2+AB152^2)*1000/(SQRT(3)*Z110)</f>
        <v>35.250361700271959</v>
      </c>
      <c r="AA152" s="1875">
        <v>0.36036000000000001</v>
      </c>
      <c r="AB152" s="1876">
        <v>6.5879999999999994E-2</v>
      </c>
      <c r="AC152" s="1874">
        <f>SQRT(AD152^2+AE152^2)*1000/(SQRT(3)*AC110)</f>
        <v>29.953263595141014</v>
      </c>
      <c r="AD152" s="1875">
        <v>0.30528</v>
      </c>
      <c r="AE152" s="1876">
        <v>6.0840000000000005E-2</v>
      </c>
      <c r="AF152" s="1874">
        <f>SQRT(AG152^2+AH152^2)*1000/(SQRT(3)*AF110)</f>
        <v>18.58463881812073</v>
      </c>
      <c r="AG152" s="1875">
        <v>0.18719999999999998</v>
      </c>
      <c r="AH152" s="1876">
        <v>4.7519999999999993E-2</v>
      </c>
      <c r="AI152" s="1874">
        <f>SQRT(AJ152^2+AK152^2)*1000/(SQRT(3)*AI110)</f>
        <v>14.470867285688163</v>
      </c>
      <c r="AJ152" s="1875">
        <v>0.14255999999999999</v>
      </c>
      <c r="AK152" s="1876">
        <v>4.7879999999999992E-2</v>
      </c>
      <c r="AL152" s="1874">
        <f>SQRT(AM152^2+AN152^2)*1000/(SQRT(3)*AL110)</f>
        <v>11.990496236603386</v>
      </c>
      <c r="AM152" s="1875">
        <v>0.11412</v>
      </c>
      <c r="AN152" s="1876">
        <v>5.0040000000000001E-2</v>
      </c>
      <c r="AO152" s="1874">
        <f>SQRT(AP152^2+AQ152^2)*1000/(SQRT(3)*AO110)</f>
        <v>11.545648530940131</v>
      </c>
      <c r="AP152" s="1875">
        <v>0.10872</v>
      </c>
      <c r="AQ152" s="1876">
        <v>5.076E-2</v>
      </c>
      <c r="AR152" s="284"/>
      <c r="AS152" s="393"/>
      <c r="AT152" s="2011"/>
      <c r="AU152" s="2011"/>
    </row>
    <row r="153" spans="1:47" ht="16.5" x14ac:dyDescent="0.25">
      <c r="A153" s="1879" t="s">
        <v>425</v>
      </c>
      <c r="B153" s="1879"/>
      <c r="C153" s="1880"/>
      <c r="D153" s="1881"/>
      <c r="E153" s="1882"/>
      <c r="F153" s="1883"/>
      <c r="G153" s="1884"/>
      <c r="H153" s="1874">
        <f>SQRT(I153^2+J153^2)*1000/(SQRT(3)*H110)</f>
        <v>4.0706592422685866</v>
      </c>
      <c r="I153" s="1875">
        <v>3.7319999999999999E-2</v>
      </c>
      <c r="J153" s="1876">
        <v>1.992E-2</v>
      </c>
      <c r="K153" s="1874">
        <f>SQRT(L153^2+M153^2)*1000/(SQRT(3)*K110)</f>
        <v>4.0401320110445225</v>
      </c>
      <c r="L153" s="1875">
        <v>3.696E-2</v>
      </c>
      <c r="M153" s="1876">
        <v>1.992E-2</v>
      </c>
      <c r="N153" s="1874">
        <f>SQRT(O153^2+P153^2)*1000/(SQRT(3)*N110)</f>
        <v>4.7369891984958823</v>
      </c>
      <c r="O153" s="1875">
        <v>4.3439999999999999E-2</v>
      </c>
      <c r="P153" s="1876">
        <v>2.316E-2</v>
      </c>
      <c r="Q153" s="1874">
        <f>SQRT(R153^2+S153^2)*1000/(SQRT(3)*Q110)</f>
        <v>4.5431560249089689</v>
      </c>
      <c r="R153" s="1875">
        <v>4.308E-2</v>
      </c>
      <c r="S153" s="1876">
        <v>1.932E-2</v>
      </c>
      <c r="T153" s="1874">
        <f>SQRT(U153^2+V153^2)*1000/(SQRT(3)*T110)</f>
        <v>4.4599701045335864</v>
      </c>
      <c r="U153" s="1875">
        <v>4.224E-2</v>
      </c>
      <c r="V153" s="1876">
        <v>1.908E-2</v>
      </c>
      <c r="W153" s="1874">
        <f>SQRT(X153^2+Y153^2)*1000/(SQRT(3)*W110)</f>
        <v>4.2345405102954601</v>
      </c>
      <c r="X153" s="1875">
        <v>3.9240000000000004E-2</v>
      </c>
      <c r="Y153" s="1876">
        <v>1.992E-2</v>
      </c>
      <c r="Z153" s="1874">
        <f>SQRT(AA153^2+AB153^2)*1000/(SQRT(3)*Z110)</f>
        <v>4.1733120340244545</v>
      </c>
      <c r="AA153" s="1875">
        <v>3.8399999999999997E-2</v>
      </c>
      <c r="AB153" s="1876">
        <v>2.0160000000000001E-2</v>
      </c>
      <c r="AC153" s="1874">
        <f>SQRT(AD153^2+AE153^2)*1000/(SQRT(3)*AC110)</f>
        <v>4.6658189706274138</v>
      </c>
      <c r="AD153" s="1875">
        <v>4.2599999999999992E-2</v>
      </c>
      <c r="AE153" s="1876">
        <v>2.316E-2</v>
      </c>
      <c r="AF153" s="1874">
        <f>SQRT(AG153^2+AH153^2)*1000/(SQRT(3)*AF110)</f>
        <v>4.5806840828272213</v>
      </c>
      <c r="AG153" s="1875">
        <v>4.2360000000000002E-2</v>
      </c>
      <c r="AH153" s="1876">
        <v>2.172E-2</v>
      </c>
      <c r="AI153" s="1874">
        <f>SQRT(AJ153^2+AK153^2)*1000/(SQRT(3)*AI110)</f>
        <v>4.9332882880826388</v>
      </c>
      <c r="AJ153" s="1875">
        <v>4.5240000000000002E-2</v>
      </c>
      <c r="AK153" s="1876">
        <v>2.4119999999999999E-2</v>
      </c>
      <c r="AL153" s="1874">
        <f>SQRT(AM153^2+AN153^2)*1000/(SQRT(3)*AL110)</f>
        <v>5.1404928427794419</v>
      </c>
      <c r="AM153" s="1875">
        <v>4.7039999999999998E-2</v>
      </c>
      <c r="AN153" s="1876">
        <v>2.5319999999999999E-2</v>
      </c>
      <c r="AO153" s="1874">
        <f>SQRT(AP153^2+AQ153^2)*1000/(SQRT(3)*AO110)</f>
        <v>4.5960127647052218</v>
      </c>
      <c r="AP153" s="1875">
        <v>4.2599999999999999E-2</v>
      </c>
      <c r="AQ153" s="1876">
        <v>2.1600000000000001E-2</v>
      </c>
      <c r="AR153" s="284"/>
      <c r="AS153" s="393"/>
      <c r="AT153" s="2011"/>
      <c r="AU153" s="2011"/>
    </row>
    <row r="154" spans="1:47" ht="16.5" x14ac:dyDescent="0.25">
      <c r="A154" s="1879" t="s">
        <v>426</v>
      </c>
      <c r="B154" s="1879"/>
      <c r="C154" s="1880"/>
      <c r="D154" s="1881"/>
      <c r="E154" s="1882"/>
      <c r="F154" s="1883"/>
      <c r="G154" s="1884"/>
      <c r="H154" s="1874">
        <f>SQRT(I154^2+J154^2)*1000/(SQRT(3)*H110)</f>
        <v>167.48744669377464</v>
      </c>
      <c r="I154" s="1875">
        <v>1.7136</v>
      </c>
      <c r="J154" s="1876">
        <v>0.30528</v>
      </c>
      <c r="K154" s="1874">
        <f>SQRT(L154^2+M154^2)*1000/(SQRT(3)*K110)</f>
        <v>166.75682894562371</v>
      </c>
      <c r="L154" s="1875">
        <v>1.7064000000000001</v>
      </c>
      <c r="M154" s="1876">
        <v>0.3024</v>
      </c>
      <c r="N154" s="1874">
        <f>SQRT(O154^2+P154^2)*1000/(SQRT(3)*N110)</f>
        <v>160.38253271475668</v>
      </c>
      <c r="O154" s="1875">
        <v>1.6452</v>
      </c>
      <c r="P154" s="1876">
        <v>0.26712000000000002</v>
      </c>
      <c r="Q154" s="1874">
        <f>SQRT(R154^2+S154^2)*1000/(SQRT(3)*Q110)</f>
        <v>169.75017643584349</v>
      </c>
      <c r="R154" s="1875">
        <v>1.7391599999999998</v>
      </c>
      <c r="S154" s="1876">
        <v>0.29555999999999999</v>
      </c>
      <c r="T154" s="1874">
        <f>SQRT(U154^2+V154^2)*1000/(SQRT(3)*T110)</f>
        <v>171.23627185850546</v>
      </c>
      <c r="U154" s="1875">
        <v>1.7560799999999999</v>
      </c>
      <c r="V154" s="1876">
        <v>0.28799999999999998</v>
      </c>
      <c r="W154" s="1874">
        <f>SQRT(X154^2+Y154^2)*1000/(SQRT(3)*W110)</f>
        <v>170.98092876107557</v>
      </c>
      <c r="X154" s="1875">
        <v>1.7539200000000001</v>
      </c>
      <c r="Y154" s="1876">
        <v>0.28476000000000001</v>
      </c>
      <c r="Z154" s="1874">
        <f>SQRT(AA154^2+AB154^2)*1000/(SQRT(3)*Z110)</f>
        <v>173.16754314824703</v>
      </c>
      <c r="AA154" s="1875">
        <v>1.77624</v>
      </c>
      <c r="AB154" s="1876">
        <v>0.28908000000000006</v>
      </c>
      <c r="AC154" s="1874">
        <f>SQRT(AD154^2+AE154^2)*1000/(SQRT(3)*AC110)</f>
        <v>171.5945803339954</v>
      </c>
      <c r="AD154" s="1875">
        <v>1.7593200000000002</v>
      </c>
      <c r="AE154" s="1876">
        <v>0.29124</v>
      </c>
      <c r="AF154" s="1874">
        <f>SQRT(AG154^2+AH154^2)*1000/(SQRT(3)*AF110)</f>
        <v>166.82805879107983</v>
      </c>
      <c r="AG154" s="1875">
        <v>1.7096399999999998</v>
      </c>
      <c r="AH154" s="1876">
        <v>0.28799999999999998</v>
      </c>
      <c r="AI154" s="1874">
        <f>SQRT(AJ154^2+AK154^2)*1000/(SQRT(3)*AI110)</f>
        <v>157.46780623352828</v>
      </c>
      <c r="AJ154" s="1875">
        <v>1.6113600000000001</v>
      </c>
      <c r="AK154" s="1876">
        <v>0.28548000000000001</v>
      </c>
      <c r="AL154" s="1874">
        <f>SQRT(AM154^2+AN154^2)*1000/(SQRT(3)*AL110)</f>
        <v>145.76192506961479</v>
      </c>
      <c r="AM154" s="1875">
        <v>1.48752</v>
      </c>
      <c r="AN154" s="1876">
        <v>0.28620000000000001</v>
      </c>
      <c r="AO154" s="1874">
        <f>SQRT(AP154^2+AQ154^2)*1000/(SQRT(3)*AO110)</f>
        <v>129.14961091695164</v>
      </c>
      <c r="AP154" s="1875">
        <v>1.3129200000000001</v>
      </c>
      <c r="AQ154" s="1876">
        <v>0.27864</v>
      </c>
      <c r="AR154" s="284"/>
      <c r="AS154" s="393"/>
      <c r="AT154" s="2011"/>
      <c r="AU154" s="2011"/>
    </row>
    <row r="155" spans="1:47" ht="16.5" x14ac:dyDescent="0.25">
      <c r="A155" s="1879" t="s">
        <v>427</v>
      </c>
      <c r="B155" s="1879"/>
      <c r="C155" s="1880"/>
      <c r="D155" s="1881"/>
      <c r="E155" s="1882"/>
      <c r="F155" s="1883"/>
      <c r="G155" s="1884"/>
      <c r="H155" s="1874">
        <f>SQRT(I155^2+J155^2)*1000/(SQRT(3)*H110)</f>
        <v>31.790187165224431</v>
      </c>
      <c r="I155" s="1875">
        <v>0.31392000000000003</v>
      </c>
      <c r="J155" s="1876">
        <v>0.10296000000000001</v>
      </c>
      <c r="K155" s="1874">
        <f>SQRT(L155^2+M155^2)*1000/(SQRT(3)*K110)</f>
        <v>31.024119649073047</v>
      </c>
      <c r="L155" s="1875">
        <v>0.30672000000000005</v>
      </c>
      <c r="M155" s="1876">
        <v>9.9360000000000004E-2</v>
      </c>
      <c r="N155" s="1874">
        <f>SQRT(O155^2+P155^2)*1000/(SQRT(3)*N110)</f>
        <v>32.164178832981264</v>
      </c>
      <c r="O155" s="1875">
        <v>0.31824000000000002</v>
      </c>
      <c r="P155" s="1876">
        <v>0.10224</v>
      </c>
      <c r="Q155" s="1874">
        <f>SQRT(R155^2+S155^2)*1000/(SQRT(3)*Q110)</f>
        <v>34.042867094297442</v>
      </c>
      <c r="R155" s="1875">
        <v>0.33911999999999998</v>
      </c>
      <c r="S155" s="1876">
        <v>0.1008</v>
      </c>
      <c r="T155" s="1874">
        <f>SQRT(U155^2+V155^2)*1000/(SQRT(3)*T110)</f>
        <v>34.079876760340554</v>
      </c>
      <c r="U155" s="1875">
        <v>0.33984000000000003</v>
      </c>
      <c r="V155" s="1876">
        <v>9.9720000000000003E-2</v>
      </c>
      <c r="W155" s="1874">
        <f>SQRT(X155^2+Y155^2)*1000/(SQRT(3)*W110)</f>
        <v>31.879466745853822</v>
      </c>
      <c r="X155" s="1875">
        <v>0.31715999999999994</v>
      </c>
      <c r="Y155" s="1876">
        <v>9.5760000000000012E-2</v>
      </c>
      <c r="Z155" s="1874">
        <f>SQRT(AA155^2+AB155^2)*1000/(SQRT(3)*Z110)</f>
        <v>29.747436864375391</v>
      </c>
      <c r="AA155" s="1875">
        <v>0.29519999999999996</v>
      </c>
      <c r="AB155" s="1876">
        <v>9.1799999999999993E-2</v>
      </c>
      <c r="AC155" s="1874">
        <f>SQRT(AD155^2+AE155^2)*1000/(SQRT(3)*AC110)</f>
        <v>27.913394634117864</v>
      </c>
      <c r="AD155" s="1875">
        <v>0.27612000000000003</v>
      </c>
      <c r="AE155" s="1876">
        <v>8.8919999999999999E-2</v>
      </c>
      <c r="AF155" s="1874">
        <f>SQRT(AG155^2+AH155^2)*1000/(SQRT(3)*AF110)</f>
        <v>26.411565648404874</v>
      </c>
      <c r="AG155" s="1875">
        <v>0.25992000000000004</v>
      </c>
      <c r="AH155" s="1876">
        <v>8.8200000000000001E-2</v>
      </c>
      <c r="AI155" s="1874">
        <f>SQRT(AJ155^2+AK155^2)*1000/(SQRT(3)*AI110)</f>
        <v>26.021491117920199</v>
      </c>
      <c r="AJ155" s="1875">
        <v>0.25488</v>
      </c>
      <c r="AK155" s="1876">
        <v>9.0359999999999996E-2</v>
      </c>
      <c r="AL155" s="1874">
        <f>SQRT(AM155^2+AN155^2)*1000/(SQRT(3)*AL110)</f>
        <v>23.945738660563386</v>
      </c>
      <c r="AM155" s="1875">
        <v>0.23255999999999999</v>
      </c>
      <c r="AN155" s="1876">
        <v>8.856E-2</v>
      </c>
      <c r="AO155" s="1874">
        <f>SQRT(AP155^2+AQ155^2)*1000/(SQRT(3)*AO110)</f>
        <v>20.62327810994169</v>
      </c>
      <c r="AP155" s="1875">
        <v>0.19872000000000004</v>
      </c>
      <c r="AQ155" s="1876">
        <v>8.0280000000000004E-2</v>
      </c>
      <c r="AR155" s="284"/>
      <c r="AS155" s="393"/>
      <c r="AT155" s="2011"/>
      <c r="AU155" s="2011"/>
    </row>
    <row r="156" spans="1:47" ht="17.25" thickBot="1" x14ac:dyDescent="0.3">
      <c r="A156" s="1904" t="s">
        <v>428</v>
      </c>
      <c r="B156" s="1904"/>
      <c r="C156" s="1905"/>
      <c r="D156" s="1906"/>
      <c r="E156" s="1907"/>
      <c r="F156" s="1908"/>
      <c r="G156" s="1909"/>
      <c r="H156" s="1888">
        <f>SQRT(I156^2+J156^2)*1000/(SQRT(3)*H110)</f>
        <v>60.965058845210663</v>
      </c>
      <c r="I156" s="1910">
        <v>0.61163999999999996</v>
      </c>
      <c r="J156" s="1911">
        <v>0.16524</v>
      </c>
      <c r="K156" s="1888">
        <f>SQRT(L156^2+M156^2)*1000/(SQRT(3)*K110)</f>
        <v>62.171089744349821</v>
      </c>
      <c r="L156" s="1910">
        <v>0.62316000000000005</v>
      </c>
      <c r="M156" s="1911">
        <v>0.17063999999999999</v>
      </c>
      <c r="N156" s="1888">
        <f>SQRT(O156^2+P156^2)*1000/(SQRT(3)*N110)</f>
        <v>60.987877483972184</v>
      </c>
      <c r="O156" s="1910">
        <v>0.61020000000000008</v>
      </c>
      <c r="P156" s="1911">
        <v>0.17136000000000001</v>
      </c>
      <c r="Q156" s="1888">
        <f>SQRT(R156^2+S156^2)*1000/(SQRT(3)*Q110)</f>
        <v>59.504201532328793</v>
      </c>
      <c r="R156" s="1910">
        <v>0.5958</v>
      </c>
      <c r="S156" s="1911">
        <v>0.1656</v>
      </c>
      <c r="T156" s="1888">
        <f>SQRT(U156^2+V156^2)*1000/(SQRT(3)*T110)</f>
        <v>59.142066247299802</v>
      </c>
      <c r="U156" s="1910">
        <v>0.59327999999999992</v>
      </c>
      <c r="V156" s="1911">
        <v>0.16056000000000001</v>
      </c>
      <c r="W156" s="1888">
        <f>SQRT(X156^2+Y156^2)*1000/(SQRT(3)*W110)</f>
        <v>53.45324311957134</v>
      </c>
      <c r="X156" s="1910">
        <v>0.53244000000000002</v>
      </c>
      <c r="Y156" s="1911">
        <v>0.15840000000000001</v>
      </c>
      <c r="Z156" s="1888">
        <f>SQRT(AA156^2+AB156^2)*1000/(SQRT(3)*Z110)</f>
        <v>52.995456409016796</v>
      </c>
      <c r="AA156" s="1910">
        <v>0.52703999999999995</v>
      </c>
      <c r="AB156" s="1911">
        <v>0.15984000000000001</v>
      </c>
      <c r="AC156" s="1888">
        <f>SQRT(AD156^2+AE156^2)*1000/(SQRT(3)*AC110)</f>
        <v>52.766409769852636</v>
      </c>
      <c r="AD156" s="1910">
        <v>0.52488000000000001</v>
      </c>
      <c r="AE156" s="1911">
        <v>0.15875999999999998</v>
      </c>
      <c r="AF156" s="1888">
        <f>SQRT(AG156^2+AH156^2)*1000/(SQRT(3)*AF110)</f>
        <v>53.841378139865625</v>
      </c>
      <c r="AG156" s="1910">
        <v>0.53568000000000005</v>
      </c>
      <c r="AH156" s="1911">
        <v>0.16163999999999998</v>
      </c>
      <c r="AI156" s="1888">
        <f>SQRT(AJ156^2+AK156^2)*1000/(SQRT(3)*AI110)</f>
        <v>53.328682713901713</v>
      </c>
      <c r="AJ156" s="1910">
        <v>0.52955999999999992</v>
      </c>
      <c r="AK156" s="1911">
        <v>0.16344</v>
      </c>
      <c r="AL156" s="1888">
        <f>SQRT(AM156^2+AN156^2)*1000/(SQRT(3)*AL110)</f>
        <v>53.654908442751065</v>
      </c>
      <c r="AM156" s="1910">
        <v>0.53244000000000002</v>
      </c>
      <c r="AN156" s="1911">
        <v>0.1656</v>
      </c>
      <c r="AO156" s="1888">
        <f>SQRT(AP156^2+AQ156^2)*1000/(SQRT(3)*AO110)</f>
        <v>52.333404246236441</v>
      </c>
      <c r="AP156" s="1910">
        <v>0.51803999999999994</v>
      </c>
      <c r="AQ156" s="1911">
        <v>0.1656</v>
      </c>
      <c r="AR156" s="284"/>
      <c r="AS156" s="393"/>
      <c r="AT156" s="2011"/>
      <c r="AU156" s="2011"/>
    </row>
    <row r="157" spans="1:47" ht="16.5" x14ac:dyDescent="0.25">
      <c r="A157" s="1912" t="s">
        <v>100</v>
      </c>
      <c r="B157" s="1913"/>
      <c r="C157" s="1914"/>
      <c r="D157" s="1915"/>
      <c r="E157" s="1916"/>
      <c r="F157" s="1917"/>
      <c r="G157" s="1918"/>
      <c r="H157" s="1919">
        <f>SQRT(I157^2+J157^2)*1000/(SQRT(3)*0.395)</f>
        <v>47.487084912175625</v>
      </c>
      <c r="I157" s="1920">
        <v>3.2400000000000005E-2</v>
      </c>
      <c r="J157" s="1921">
        <v>2.4000000000000002E-3</v>
      </c>
      <c r="K157" s="1919">
        <f>SQRT(L157^2+M157^2)*1000/(SQRT(3)*0.395)</f>
        <v>41.08048774444606</v>
      </c>
      <c r="L157" s="1920">
        <v>2.8079999999999997E-2</v>
      </c>
      <c r="M157" s="1921">
        <v>1.2000000000000001E-3</v>
      </c>
      <c r="N157" s="1919">
        <f>SQRT(O157^2+P157^2)*1000/(SQRT(3)*0.395)</f>
        <v>48.886541371375912</v>
      </c>
      <c r="O157" s="1920">
        <v>3.3360000000000001E-2</v>
      </c>
      <c r="P157" s="1921">
        <v>2.3999999999999998E-3</v>
      </c>
      <c r="Q157" s="1919">
        <f>SQRT(R157^2+S157^2)*1000/(SQRT(3)*0.395)</f>
        <v>46.527981563984937</v>
      </c>
      <c r="R157" s="1920">
        <v>3.1799999999999995E-2</v>
      </c>
      <c r="S157" s="1921">
        <v>1.4399999999999994E-3</v>
      </c>
      <c r="T157" s="1919">
        <f>SQRT(U157^2+V157^2)*1000/(SQRT(3)*0.395)</f>
        <v>47.070637649147301</v>
      </c>
      <c r="U157" s="1920">
        <v>3.2159999999999994E-2</v>
      </c>
      <c r="V157" s="1921">
        <v>1.6799999999999996E-3</v>
      </c>
      <c r="W157" s="1919">
        <f>SQRT(X157^2+Y157^2)*1000/(SQRT(3)*0.395)</f>
        <v>49.761308166267135</v>
      </c>
      <c r="X157" s="1920">
        <v>3.3960000000000004E-2</v>
      </c>
      <c r="Y157" s="1921">
        <v>2.4000000000000002E-3</v>
      </c>
      <c r="Z157" s="1919">
        <f>SQRT(AA157^2+AB157^2)*1000/(SQRT(3)*0.395)</f>
        <v>44.793732250913315</v>
      </c>
      <c r="AA157" s="1920">
        <v>3.0599999999999999E-2</v>
      </c>
      <c r="AB157" s="1921">
        <v>1.6799999999999996E-3</v>
      </c>
      <c r="AC157" s="1919">
        <f>SQRT(AD157^2+AE157^2)*1000/(SQRT(3)*0.395)</f>
        <v>45.875764882529445</v>
      </c>
      <c r="AD157" s="1920">
        <v>3.1320000000000001E-2</v>
      </c>
      <c r="AE157" s="1921">
        <v>2.0400000000000001E-3</v>
      </c>
      <c r="AF157" s="1919">
        <f>SQRT(AG157^2+AH157^2)*1000/(SQRT(3)*0.395)</f>
        <v>48.536657097480102</v>
      </c>
      <c r="AG157" s="1920">
        <v>3.3119999999999997E-2</v>
      </c>
      <c r="AH157" s="1921">
        <v>2.4000000000000002E-3</v>
      </c>
      <c r="AI157" s="1919">
        <f>SQRT(AJ157^2+AK157^2)*1000/(SQRT(3)*0.395)</f>
        <v>43.578085218332703</v>
      </c>
      <c r="AJ157" s="1920">
        <v>2.9760000000000002E-2</v>
      </c>
      <c r="AK157" s="1921">
        <v>1.7999999999999997E-3</v>
      </c>
      <c r="AL157" s="1919">
        <f>SQRT(AM157^2+AN157^2)*1000/(SQRT(3)*0.395)</f>
        <v>45.875764882529445</v>
      </c>
      <c r="AM157" s="1920">
        <v>3.1320000000000001E-2</v>
      </c>
      <c r="AN157" s="1921">
        <v>2.0400000000000001E-3</v>
      </c>
      <c r="AO157" s="1919">
        <f>SQRT(AP157^2+AQ157^2)*1000/(SQRT(3)*0.395)</f>
        <v>48.724542858302115</v>
      </c>
      <c r="AP157" s="1920">
        <v>3.3239999999999992E-2</v>
      </c>
      <c r="AQ157" s="1921">
        <v>2.5199999999999997E-3</v>
      </c>
      <c r="AR157" s="284"/>
      <c r="AS157" s="393"/>
      <c r="AT157" s="2012"/>
      <c r="AU157" s="2012"/>
    </row>
    <row r="158" spans="1:47" ht="17.25" thickBot="1" x14ac:dyDescent="0.3">
      <c r="A158" s="1922" t="s">
        <v>101</v>
      </c>
      <c r="B158" s="1923"/>
      <c r="C158" s="1924"/>
      <c r="D158" s="1925"/>
      <c r="E158" s="1926"/>
      <c r="F158" s="1927"/>
      <c r="G158" s="1928"/>
      <c r="H158" s="1929">
        <f>SQRT(I158^2+J158^2)*1000/(SQRT(3)*0.395)</f>
        <v>80.843050302709628</v>
      </c>
      <c r="I158" s="1930">
        <v>5.5200000000000006E-2</v>
      </c>
      <c r="J158" s="1931">
        <v>3.4799999999999992E-3</v>
      </c>
      <c r="K158" s="1929">
        <f>SQRT(L158^2+M158^2)*1000/(SQRT(3)*0.395)</f>
        <v>72.532772209422092</v>
      </c>
      <c r="L158" s="1930">
        <v>4.956E-2</v>
      </c>
      <c r="M158" s="1931">
        <v>2.5200000000000001E-3</v>
      </c>
      <c r="N158" s="1929">
        <f>SQRT(O158^2+P158^2)*1000/(SQRT(3)*0.395)</f>
        <v>82.814766383567587</v>
      </c>
      <c r="O158" s="1930">
        <v>5.6519999999999994E-2</v>
      </c>
      <c r="P158" s="1931">
        <v>3.9599999999999991E-3</v>
      </c>
      <c r="Q158" s="1929">
        <f>SQRT(R158^2+S158^2)*1000/(SQRT(3)*0.395)</f>
        <v>77.621689897278159</v>
      </c>
      <c r="R158" s="1930">
        <v>5.3040000000000004E-2</v>
      </c>
      <c r="S158" s="1931">
        <v>2.6399999999999996E-3</v>
      </c>
      <c r="T158" s="1929">
        <f>SQRT(U158^2+V158^2)*1000/(SQRT(3)*0.395)</f>
        <v>77.980930211728236</v>
      </c>
      <c r="U158" s="1930">
        <v>5.3280000000000001E-2</v>
      </c>
      <c r="V158" s="1931">
        <v>2.7599999999999999E-3</v>
      </c>
      <c r="W158" s="1929">
        <f>SQRT(X158^2+Y158^2)*1000/(SQRT(3)*0.395)</f>
        <v>81.240123701817964</v>
      </c>
      <c r="X158" s="1930">
        <v>5.5439999999999996E-2</v>
      </c>
      <c r="Y158" s="1931">
        <v>3.96E-3</v>
      </c>
      <c r="Z158" s="1929">
        <f>SQRT(AA158^2+AB158^2)*1000/(SQRT(3)*0.395)</f>
        <v>77.280287976883841</v>
      </c>
      <c r="AA158" s="1930">
        <v>5.28E-2</v>
      </c>
      <c r="AB158" s="1931">
        <v>2.7600000000000003E-3</v>
      </c>
      <c r="AC158" s="1929">
        <f>SQRT(AD158^2+AE158^2)*1000/(SQRT(3)*0.395)</f>
        <v>81.427734128334919</v>
      </c>
      <c r="AD158" s="1930">
        <v>5.5560000000000005E-2</v>
      </c>
      <c r="AE158" s="1931">
        <v>4.0800000000000003E-3</v>
      </c>
      <c r="AF158" s="1929">
        <f>SQRT(AG158^2+AH158^2)*1000/(SQRT(3)*0.395)</f>
        <v>84.96522375959394</v>
      </c>
      <c r="AG158" s="1930">
        <v>5.7959999999999998E-2</v>
      </c>
      <c r="AH158" s="1931">
        <v>4.4400000000000004E-3</v>
      </c>
      <c r="AI158" s="1929">
        <f>SQRT(AJ158^2+AK158^2)*1000/(SQRT(3)*0.395)</f>
        <v>76.14152905427683</v>
      </c>
      <c r="AJ158" s="1930">
        <v>5.1959999999999999E-2</v>
      </c>
      <c r="AK158" s="1931">
        <v>3.7199999999999998E-3</v>
      </c>
      <c r="AL158" s="1929">
        <f>SQRT(AM158^2+AN158^2)*1000/(SQRT(3)*0.395)</f>
        <v>78.875285656470638</v>
      </c>
      <c r="AM158" s="1930">
        <v>5.3760000000000002E-2</v>
      </c>
      <c r="AN158" s="1931">
        <v>4.6800000000000001E-3</v>
      </c>
      <c r="AO158" s="1929">
        <f>SQRT(AP158^2+AQ158^2)*1000/(SQRT(3)*0.395)</f>
        <v>82.066562531810334</v>
      </c>
      <c r="AP158" s="1930">
        <v>5.5920000000000004E-2</v>
      </c>
      <c r="AQ158" s="1931">
        <v>5.0400000000000011E-3</v>
      </c>
      <c r="AR158" s="284"/>
      <c r="AS158" s="393"/>
      <c r="AT158" s="2012"/>
      <c r="AU158" s="2012"/>
    </row>
    <row r="159" spans="1:47" ht="16.5" x14ac:dyDescent="0.25">
      <c r="A159" s="2456" t="s">
        <v>429</v>
      </c>
      <c r="B159" s="2457"/>
      <c r="C159" s="2457"/>
      <c r="D159" s="2457"/>
      <c r="E159" s="2457"/>
      <c r="F159" s="2457"/>
      <c r="G159" s="2458"/>
      <c r="H159" s="1889">
        <f t="shared" ref="H159:AQ159" si="10">H143+H144+H145+H146+H147+H148+H157</f>
        <v>513.24130441961859</v>
      </c>
      <c r="I159" s="1890">
        <f t="shared" si="10"/>
        <v>4.7616000000000005</v>
      </c>
      <c r="J159" s="1891">
        <f t="shared" si="10"/>
        <v>1.0147200000000001</v>
      </c>
      <c r="K159" s="1889">
        <f t="shared" si="10"/>
        <v>506.16231174384905</v>
      </c>
      <c r="L159" s="1890">
        <f t="shared" si="10"/>
        <v>4.7519999999999998</v>
      </c>
      <c r="M159" s="1891">
        <f t="shared" si="10"/>
        <v>1.0084800000000003</v>
      </c>
      <c r="N159" s="1889">
        <f t="shared" si="10"/>
        <v>525.99355717980052</v>
      </c>
      <c r="O159" s="1890">
        <f t="shared" si="10"/>
        <v>4.8748800000000001</v>
      </c>
      <c r="P159" s="1891">
        <f t="shared" si="10"/>
        <v>1.05684</v>
      </c>
      <c r="Q159" s="1889">
        <f t="shared" si="10"/>
        <v>529.72812177459991</v>
      </c>
      <c r="R159" s="1890">
        <f t="shared" si="10"/>
        <v>4.9405200000000002</v>
      </c>
      <c r="S159" s="1891">
        <f t="shared" si="10"/>
        <v>1.04664</v>
      </c>
      <c r="T159" s="1889">
        <f t="shared" si="10"/>
        <v>521.51052279036412</v>
      </c>
      <c r="U159" s="1890">
        <f t="shared" si="10"/>
        <v>4.8535199999999996</v>
      </c>
      <c r="V159" s="1891">
        <f t="shared" si="10"/>
        <v>1.01268</v>
      </c>
      <c r="W159" s="1889">
        <f t="shared" si="10"/>
        <v>504.03000041104161</v>
      </c>
      <c r="X159" s="1890">
        <f t="shared" si="10"/>
        <v>4.6480800000000002</v>
      </c>
      <c r="Y159" s="1891">
        <f t="shared" si="10"/>
        <v>0.97763999999999984</v>
      </c>
      <c r="Z159" s="1889">
        <f t="shared" si="10"/>
        <v>494.49018970333248</v>
      </c>
      <c r="AA159" s="1890">
        <f t="shared" si="10"/>
        <v>4.6024799999999999</v>
      </c>
      <c r="AB159" s="1891">
        <f t="shared" si="10"/>
        <v>0.95135999999999998</v>
      </c>
      <c r="AC159" s="1889">
        <f t="shared" si="10"/>
        <v>477.61748904067116</v>
      </c>
      <c r="AD159" s="1890">
        <f t="shared" si="10"/>
        <v>4.4226000000000001</v>
      </c>
      <c r="AE159" s="1891">
        <f t="shared" si="10"/>
        <v>0.90311999999999992</v>
      </c>
      <c r="AF159" s="1889">
        <f t="shared" si="10"/>
        <v>466.49966429121298</v>
      </c>
      <c r="AG159" s="1890">
        <f t="shared" si="10"/>
        <v>4.2769200000000005</v>
      </c>
      <c r="AH159" s="1891">
        <f t="shared" si="10"/>
        <v>0.90876000000000001</v>
      </c>
      <c r="AI159" s="1889">
        <f t="shared" si="10"/>
        <v>441.73863459458249</v>
      </c>
      <c r="AJ159" s="1890">
        <f t="shared" si="10"/>
        <v>4.067639999999999</v>
      </c>
      <c r="AK159" s="1891">
        <f t="shared" si="10"/>
        <v>0.88668000000000002</v>
      </c>
      <c r="AL159" s="1889">
        <f t="shared" si="10"/>
        <v>419.53300576273193</v>
      </c>
      <c r="AM159" s="1890">
        <f t="shared" si="10"/>
        <v>3.8103600000000002</v>
      </c>
      <c r="AN159" s="1891">
        <f t="shared" si="10"/>
        <v>0.88092000000000004</v>
      </c>
      <c r="AO159" s="1889">
        <f t="shared" si="10"/>
        <v>398.31980669734696</v>
      </c>
      <c r="AP159" s="1890">
        <f t="shared" si="10"/>
        <v>3.55992</v>
      </c>
      <c r="AQ159" s="1891">
        <f t="shared" si="10"/>
        <v>0.86304000000000003</v>
      </c>
      <c r="AR159" s="284"/>
      <c r="AS159" s="393"/>
      <c r="AT159" s="2011"/>
      <c r="AU159" s="2011"/>
    </row>
    <row r="160" spans="1:47" ht="17.25" thickBot="1" x14ac:dyDescent="0.3">
      <c r="A160" s="2459" t="s">
        <v>430</v>
      </c>
      <c r="B160" s="2460"/>
      <c r="C160" s="2460"/>
      <c r="D160" s="2460"/>
      <c r="E160" s="2460"/>
      <c r="F160" s="2460"/>
      <c r="G160" s="2461"/>
      <c r="H160" s="1893">
        <f t="shared" ref="H160:AQ160" si="11">H149+H150+H151+H152+H153+H154+H155+H156+H158</f>
        <v>694.48193518781272</v>
      </c>
      <c r="I160" s="1894">
        <f t="shared" si="11"/>
        <v>6.3144</v>
      </c>
      <c r="J160" s="1895">
        <f t="shared" si="11"/>
        <v>1.16334</v>
      </c>
      <c r="K160" s="1893">
        <f t="shared" si="11"/>
        <v>683.87681383766869</v>
      </c>
      <c r="L160" s="1894">
        <f t="shared" si="11"/>
        <v>6.2824800000000005</v>
      </c>
      <c r="M160" s="1895">
        <f t="shared" si="11"/>
        <v>1.1767800000000002</v>
      </c>
      <c r="N160" s="1893">
        <f t="shared" si="11"/>
        <v>685.82342880671513</v>
      </c>
      <c r="O160" s="1894">
        <f t="shared" si="11"/>
        <v>6.2050200000000002</v>
      </c>
      <c r="P160" s="1895">
        <f t="shared" si="11"/>
        <v>1.1533799999999998</v>
      </c>
      <c r="Q160" s="1893">
        <f t="shared" si="11"/>
        <v>699.64286201823006</v>
      </c>
      <c r="R160" s="1894">
        <f t="shared" si="11"/>
        <v>6.4013400000000003</v>
      </c>
      <c r="S160" s="1895">
        <f t="shared" si="11"/>
        <v>1.1633399999999998</v>
      </c>
      <c r="T160" s="1893">
        <f t="shared" si="11"/>
        <v>701.47722771597944</v>
      </c>
      <c r="U160" s="1894">
        <f t="shared" si="11"/>
        <v>6.4219799999999996</v>
      </c>
      <c r="V160" s="1895">
        <f t="shared" si="11"/>
        <v>1.1367600000000002</v>
      </c>
      <c r="W160" s="1893">
        <f t="shared" si="11"/>
        <v>696.20143400283314</v>
      </c>
      <c r="X160" s="1894">
        <f t="shared" si="11"/>
        <v>6.3306000000000004</v>
      </c>
      <c r="Y160" s="1895">
        <f t="shared" si="11"/>
        <v>1.14456</v>
      </c>
      <c r="Z160" s="1893">
        <f t="shared" si="11"/>
        <v>692.42621772988628</v>
      </c>
      <c r="AA160" s="1894">
        <f t="shared" si="11"/>
        <v>6.3314400000000015</v>
      </c>
      <c r="AB160" s="1895">
        <f t="shared" si="11"/>
        <v>1.1335200000000001</v>
      </c>
      <c r="AC160" s="1893">
        <f t="shared" si="11"/>
        <v>679.79087070795197</v>
      </c>
      <c r="AD160" s="1894">
        <f t="shared" si="11"/>
        <v>6.1594800000000003</v>
      </c>
      <c r="AE160" s="1895">
        <f t="shared" si="11"/>
        <v>1.1144400000000001</v>
      </c>
      <c r="AF160" s="1893">
        <f t="shared" si="11"/>
        <v>643.01429511547622</v>
      </c>
      <c r="AG160" s="1894">
        <f t="shared" si="11"/>
        <v>5.7407999999999992</v>
      </c>
      <c r="AH160" s="1895">
        <f t="shared" si="11"/>
        <v>1.0885199999999999</v>
      </c>
      <c r="AI160" s="1893">
        <f t="shared" si="11"/>
        <v>605.31072545176403</v>
      </c>
      <c r="AJ160" s="1894">
        <f t="shared" si="11"/>
        <v>5.4293400000000007</v>
      </c>
      <c r="AK160" s="1895">
        <f t="shared" si="11"/>
        <v>1.0803</v>
      </c>
      <c r="AL160" s="1893">
        <f t="shared" si="11"/>
        <v>580.64219571813817</v>
      </c>
      <c r="AM160" s="1894">
        <f t="shared" si="11"/>
        <v>5.1379200000000003</v>
      </c>
      <c r="AN160" s="1895">
        <f t="shared" si="11"/>
        <v>1.08246</v>
      </c>
      <c r="AO160" s="1893">
        <f t="shared" si="11"/>
        <v>548.12925883258754</v>
      </c>
      <c r="AP160" s="1894">
        <f t="shared" si="11"/>
        <v>4.7639400000000007</v>
      </c>
      <c r="AQ160" s="1895">
        <f t="shared" si="11"/>
        <v>1.0654199999999998</v>
      </c>
      <c r="AR160" s="284"/>
      <c r="AS160" s="393"/>
      <c r="AT160" s="2011"/>
      <c r="AU160" s="2011"/>
    </row>
    <row r="161" spans="1:48" ht="17.25" thickBot="1" x14ac:dyDescent="0.3">
      <c r="A161" s="2462" t="s">
        <v>431</v>
      </c>
      <c r="B161" s="2463"/>
      <c r="C161" s="2463"/>
      <c r="D161" s="2463"/>
      <c r="E161" s="2463"/>
      <c r="F161" s="2463"/>
      <c r="G161" s="2463"/>
      <c r="H161" s="1896">
        <f>H159+H160</f>
        <v>1207.7232396074314</v>
      </c>
      <c r="I161" s="1897">
        <f t="shared" ref="I161:AQ161" si="12">I159+I160</f>
        <v>11.076000000000001</v>
      </c>
      <c r="J161" s="1898">
        <f t="shared" si="12"/>
        <v>2.1780600000000003</v>
      </c>
      <c r="K161" s="1896">
        <f t="shared" si="12"/>
        <v>1190.0391255815177</v>
      </c>
      <c r="L161" s="1897">
        <f t="shared" si="12"/>
        <v>11.03448</v>
      </c>
      <c r="M161" s="1898">
        <f t="shared" si="12"/>
        <v>2.1852600000000004</v>
      </c>
      <c r="N161" s="1896">
        <f t="shared" si="12"/>
        <v>1211.8169859865156</v>
      </c>
      <c r="O161" s="1897">
        <f t="shared" si="12"/>
        <v>11.0799</v>
      </c>
      <c r="P161" s="1898">
        <f t="shared" si="12"/>
        <v>2.2102199999999996</v>
      </c>
      <c r="Q161" s="1896">
        <f t="shared" si="12"/>
        <v>1229.37098379283</v>
      </c>
      <c r="R161" s="1897">
        <f t="shared" si="12"/>
        <v>11.34186</v>
      </c>
      <c r="S161" s="1898">
        <f t="shared" si="12"/>
        <v>2.2099799999999998</v>
      </c>
      <c r="T161" s="1896">
        <f t="shared" si="12"/>
        <v>1222.9877505063437</v>
      </c>
      <c r="U161" s="1897">
        <f t="shared" si="12"/>
        <v>11.275499999999999</v>
      </c>
      <c r="V161" s="1898">
        <f t="shared" si="12"/>
        <v>2.1494400000000002</v>
      </c>
      <c r="W161" s="1896">
        <f t="shared" si="12"/>
        <v>1200.2314344138747</v>
      </c>
      <c r="X161" s="1897">
        <f t="shared" si="12"/>
        <v>10.978680000000001</v>
      </c>
      <c r="Y161" s="1898">
        <f t="shared" si="12"/>
        <v>2.1221999999999999</v>
      </c>
      <c r="Z161" s="1896">
        <f t="shared" si="12"/>
        <v>1186.9164074332189</v>
      </c>
      <c r="AA161" s="1897">
        <f t="shared" si="12"/>
        <v>10.933920000000001</v>
      </c>
      <c r="AB161" s="1898">
        <f t="shared" si="12"/>
        <v>2.0848800000000001</v>
      </c>
      <c r="AC161" s="1896">
        <f t="shared" si="12"/>
        <v>1157.4083597486231</v>
      </c>
      <c r="AD161" s="1897">
        <f t="shared" si="12"/>
        <v>10.582080000000001</v>
      </c>
      <c r="AE161" s="1898">
        <f t="shared" si="12"/>
        <v>2.01756</v>
      </c>
      <c r="AF161" s="1896">
        <f t="shared" si="12"/>
        <v>1109.5139594066891</v>
      </c>
      <c r="AG161" s="1897">
        <f t="shared" si="12"/>
        <v>10.017720000000001</v>
      </c>
      <c r="AH161" s="1898">
        <f t="shared" si="12"/>
        <v>1.9972799999999999</v>
      </c>
      <c r="AI161" s="1896">
        <f t="shared" si="12"/>
        <v>1047.0493600463465</v>
      </c>
      <c r="AJ161" s="1897">
        <f t="shared" si="12"/>
        <v>9.4969800000000006</v>
      </c>
      <c r="AK161" s="1898">
        <f t="shared" si="12"/>
        <v>1.96698</v>
      </c>
      <c r="AL161" s="1896">
        <f t="shared" si="12"/>
        <v>1000.1752014808701</v>
      </c>
      <c r="AM161" s="1897">
        <f t="shared" si="12"/>
        <v>8.9482800000000005</v>
      </c>
      <c r="AN161" s="1898">
        <f t="shared" si="12"/>
        <v>1.9633799999999999</v>
      </c>
      <c r="AO161" s="1896">
        <f t="shared" si="12"/>
        <v>946.4490655299345</v>
      </c>
      <c r="AP161" s="1897">
        <f t="shared" si="12"/>
        <v>8.3238599999999998</v>
      </c>
      <c r="AQ161" s="1898">
        <f t="shared" si="12"/>
        <v>1.9284599999999998</v>
      </c>
      <c r="AR161" s="284"/>
      <c r="AS161" s="393"/>
      <c r="AT161" s="2011"/>
      <c r="AU161" s="2011"/>
    </row>
    <row r="162" spans="1:48" ht="16.5" x14ac:dyDescent="0.25">
      <c r="A162" s="1842"/>
      <c r="B162" s="1845"/>
      <c r="C162" s="1845"/>
      <c r="D162" s="1845"/>
      <c r="E162" s="1845"/>
      <c r="F162" s="1845"/>
      <c r="G162" s="1845"/>
      <c r="H162" s="1933"/>
      <c r="I162" s="1934"/>
      <c r="J162" s="1934"/>
      <c r="K162" s="1933"/>
      <c r="L162" s="1934"/>
      <c r="M162" s="1934"/>
      <c r="N162" s="1933"/>
      <c r="O162" s="1934"/>
      <c r="P162" s="1934"/>
      <c r="Q162" s="1933"/>
      <c r="R162" s="1934"/>
      <c r="S162" s="1934"/>
      <c r="T162" s="1933"/>
      <c r="U162" s="1934"/>
      <c r="V162" s="1934"/>
      <c r="W162" s="1933"/>
      <c r="X162" s="1934"/>
      <c r="Y162" s="1934"/>
      <c r="Z162" s="1933"/>
      <c r="AA162" s="1934"/>
      <c r="AB162" s="1934"/>
      <c r="AC162" s="1933"/>
      <c r="AD162" s="1934"/>
      <c r="AE162" s="1934"/>
      <c r="AF162" s="1933"/>
      <c r="AG162" s="1934"/>
      <c r="AH162" s="1934"/>
      <c r="AI162" s="1933"/>
      <c r="AJ162" s="1934"/>
      <c r="AK162" s="1934"/>
      <c r="AL162" s="1933"/>
      <c r="AM162" s="1934"/>
      <c r="AN162" s="1934"/>
      <c r="AO162" s="1933"/>
      <c r="AP162" s="1934"/>
      <c r="AQ162" s="1934"/>
      <c r="AR162" s="388"/>
      <c r="AT162" s="2011"/>
      <c r="AU162" s="2011"/>
    </row>
    <row r="163" spans="1:48" s="230" customFormat="1" ht="16.5" customHeight="1" thickBot="1" x14ac:dyDescent="0.3">
      <c r="A163" s="2013" t="s">
        <v>19</v>
      </c>
      <c r="B163" s="1801"/>
      <c r="C163" s="1801"/>
      <c r="D163" s="1801"/>
      <c r="E163" s="1801"/>
      <c r="F163" s="1801"/>
      <c r="G163" s="1801"/>
      <c r="H163" s="1936"/>
      <c r="I163" s="1937"/>
      <c r="J163" s="1860"/>
      <c r="K163" s="1938"/>
      <c r="L163" s="1938"/>
      <c r="M163" s="1938"/>
      <c r="N163" s="1938"/>
      <c r="O163" s="1938"/>
      <c r="P163" s="1938"/>
      <c r="Q163" s="1938"/>
      <c r="R163" s="1938"/>
      <c r="S163" s="1938"/>
      <c r="T163" s="1938"/>
      <c r="U163" s="1938"/>
      <c r="V163" s="1938"/>
      <c r="W163" s="1938"/>
      <c r="X163" s="1938"/>
      <c r="Y163" s="1938"/>
      <c r="Z163" s="1938"/>
      <c r="AA163" s="1938"/>
      <c r="AB163" s="1938"/>
      <c r="AC163" s="1938"/>
      <c r="AD163" s="1938"/>
      <c r="AE163" s="1938"/>
      <c r="AF163" s="1938"/>
      <c r="AG163" s="1938"/>
      <c r="AH163" s="1938"/>
      <c r="AI163" s="1938"/>
      <c r="AJ163" s="1938"/>
      <c r="AK163" s="1938"/>
      <c r="AL163" s="1938"/>
      <c r="AM163" s="1938"/>
      <c r="AN163" s="1938"/>
      <c r="AO163" s="1938"/>
      <c r="AP163" s="1938"/>
      <c r="AQ163" s="1938"/>
      <c r="AS163" s="231"/>
      <c r="AT163" s="231"/>
      <c r="AU163" s="231"/>
      <c r="AV163" s="231"/>
    </row>
    <row r="164" spans="1:48" s="230" customFormat="1" ht="16.5" customHeight="1" x14ac:dyDescent="0.25">
      <c r="A164" s="2441" t="s">
        <v>0</v>
      </c>
      <c r="B164" s="1939" t="s">
        <v>22</v>
      </c>
      <c r="C164" s="1940"/>
      <c r="D164" s="1940" t="s">
        <v>45</v>
      </c>
      <c r="E164" s="1940"/>
      <c r="F164" s="1940"/>
      <c r="G164" s="1941"/>
      <c r="H164" s="1942">
        <f>$C$79/1000</f>
        <v>3.1800000000000002E-2</v>
      </c>
      <c r="I164" s="1943" t="s">
        <v>2</v>
      </c>
      <c r="J164" s="1944">
        <f>$G$79/1000</f>
        <v>4.0799999999999996E-2</v>
      </c>
      <c r="K164" s="1942">
        <f>$C$79/1000</f>
        <v>3.1800000000000002E-2</v>
      </c>
      <c r="L164" s="1943" t="s">
        <v>2</v>
      </c>
      <c r="M164" s="1944">
        <f>$G$79/1000</f>
        <v>4.0799999999999996E-2</v>
      </c>
      <c r="N164" s="1942">
        <f>$C$79/1000</f>
        <v>3.1800000000000002E-2</v>
      </c>
      <c r="O164" s="1943" t="s">
        <v>2</v>
      </c>
      <c r="P164" s="1944">
        <f>$G$79/1000</f>
        <v>4.0799999999999996E-2</v>
      </c>
      <c r="Q164" s="1942">
        <f>$C$79/1000</f>
        <v>3.1800000000000002E-2</v>
      </c>
      <c r="R164" s="1943" t="s">
        <v>2</v>
      </c>
      <c r="S164" s="1944">
        <f>$G$79/1000</f>
        <v>4.0799999999999996E-2</v>
      </c>
      <c r="T164" s="1942">
        <f>$C$79/1000</f>
        <v>3.1800000000000002E-2</v>
      </c>
      <c r="U164" s="1943" t="s">
        <v>2</v>
      </c>
      <c r="V164" s="1944">
        <f>$G$79/1000</f>
        <v>4.0799999999999996E-2</v>
      </c>
      <c r="W164" s="1942">
        <f>$C$79/1000</f>
        <v>3.1800000000000002E-2</v>
      </c>
      <c r="X164" s="1943" t="s">
        <v>2</v>
      </c>
      <c r="Y164" s="1944">
        <f>$G$79/1000</f>
        <v>4.0799999999999996E-2</v>
      </c>
      <c r="Z164" s="1942">
        <f>$C$79/1000</f>
        <v>3.1800000000000002E-2</v>
      </c>
      <c r="AA164" s="1943" t="s">
        <v>2</v>
      </c>
      <c r="AB164" s="1944">
        <f>$G$79/1000</f>
        <v>4.0799999999999996E-2</v>
      </c>
      <c r="AC164" s="1942">
        <f>$C$79/1000</f>
        <v>3.1800000000000002E-2</v>
      </c>
      <c r="AD164" s="1943" t="s">
        <v>2</v>
      </c>
      <c r="AE164" s="1944">
        <f>$G$79/1000</f>
        <v>4.0799999999999996E-2</v>
      </c>
      <c r="AF164" s="1942">
        <f>$C$79/1000</f>
        <v>3.1800000000000002E-2</v>
      </c>
      <c r="AG164" s="1943" t="s">
        <v>2</v>
      </c>
      <c r="AH164" s="1944">
        <f>$G$79/1000</f>
        <v>4.0799999999999996E-2</v>
      </c>
      <c r="AI164" s="1942">
        <f>$C$79/1000</f>
        <v>3.1800000000000002E-2</v>
      </c>
      <c r="AJ164" s="1943" t="s">
        <v>2</v>
      </c>
      <c r="AK164" s="1944">
        <f>$G$79/1000</f>
        <v>4.0799999999999996E-2</v>
      </c>
      <c r="AL164" s="1942">
        <f>$C$79/1000</f>
        <v>3.1800000000000002E-2</v>
      </c>
      <c r="AM164" s="1943" t="s">
        <v>2</v>
      </c>
      <c r="AN164" s="1944">
        <f>$G$79/1000</f>
        <v>4.0799999999999996E-2</v>
      </c>
      <c r="AO164" s="1942">
        <f>$C$79/1000</f>
        <v>3.1800000000000002E-2</v>
      </c>
      <c r="AP164" s="1943" t="s">
        <v>2</v>
      </c>
      <c r="AQ164" s="1944">
        <f>$G$79/1000</f>
        <v>4.0799999999999996E-2</v>
      </c>
      <c r="AS164" s="231"/>
      <c r="AT164" s="231"/>
      <c r="AU164" s="231"/>
      <c r="AV164" s="231"/>
    </row>
    <row r="165" spans="1:48" s="230" customFormat="1" ht="16.5" customHeight="1" thickBot="1" x14ac:dyDescent="0.3">
      <c r="A165" s="2442"/>
      <c r="B165" s="1945" t="s">
        <v>23</v>
      </c>
      <c r="C165" s="1946"/>
      <c r="D165" s="1946" t="s">
        <v>24</v>
      </c>
      <c r="E165" s="1946"/>
      <c r="F165" s="1946"/>
      <c r="G165" s="1947"/>
      <c r="H165" s="1948">
        <f>(((I96^2+J96^2)*$C$80/1000)+((I97^2+J97^2)*$G$80/1000)+((I98^2+J98^2)*$J$80/1000))/$C$9^2</f>
        <v>1.0197489792825002E-2</v>
      </c>
      <c r="I165" s="1949" t="s">
        <v>2</v>
      </c>
      <c r="J165" s="1950">
        <f>(((I96^2+J96^2)*$M$80)+((I97^2+J97^2)*$P$80)+((I98^2+J98^2)*S167))/(100*$C$9)</f>
        <v>0.28263242683619999</v>
      </c>
      <c r="K165" s="1948">
        <f>(((L96^2+M96^2)*$C$80/1000)+((L97^2+M97^2)*$G$80/1000)+((L98^2+M98^2)*$J$80/1000))/$C$9^2</f>
        <v>1.0348309224112499E-2</v>
      </c>
      <c r="L165" s="1949" t="s">
        <v>2</v>
      </c>
      <c r="M165" s="1950">
        <f>(((L96^2+M96^2)*$M$80)+((L97^2+M97^2)*$P$80)+((L98^2+M98^2)*V167))/(100*$C$9)</f>
        <v>0.29043259894079998</v>
      </c>
      <c r="N165" s="1948">
        <f>(((O96^2+P96^2)*$C$80/1000)+((O97^2+P97^2)*$G$80/1000)+((O98^2+P98^2)*$J$80/1000))/$C$9^2</f>
        <v>1.0593044816287502E-2</v>
      </c>
      <c r="O165" s="1949" t="s">
        <v>2</v>
      </c>
      <c r="P165" s="1950">
        <f>(((O96^2+P96^2)*$M$80)+((O97^2+P97^2)*$P$80)+((O98^2+P98^2)*Y167))/(100*$C$9)</f>
        <v>0.29627903154060004</v>
      </c>
      <c r="Q165" s="1948">
        <f>(((R96^2+S96^2)*$C$80/1000)+((R97^2+S97^2)*$G$80/1000)+((R98^2+S98^2)*$J$80/1000))/$C$9^2</f>
        <v>1.1157422458499999E-2</v>
      </c>
      <c r="R165" s="1949" t="s">
        <v>2</v>
      </c>
      <c r="S165" s="1950">
        <f>(((R96^2+S96^2)*$M$80)+((R97^2+S97^2)*$P$80)+((R98^2+S98^2)*AB167))/(100*$C$9)</f>
        <v>0.31302711097199998</v>
      </c>
      <c r="T165" s="1948">
        <f>(((U96^2+V96^2)*$C$80/1000)+((U97^2+V97^2)*$G$80/1000)+((U98^2+V98^2)*$J$80/1000))/$C$9^2</f>
        <v>1.1056786051218752E-2</v>
      </c>
      <c r="U165" s="1949" t="s">
        <v>2</v>
      </c>
      <c r="V165" s="1950">
        <f>(((U96^2+V96^2)*$M$80)+((U97^2+V97^2)*$P$80)+((U98^2+V98^2)*AE167))/(100*$C$9)</f>
        <v>0.31115693331900002</v>
      </c>
      <c r="W165" s="1948">
        <f>(((X96^2+Y96^2)*$C$80/1000)+((X97^2+Y97^2)*$G$80/1000)+((X98^2+Y98^2)*$J$80/1000))/$C$9^2</f>
        <v>1.0882784060212503E-2</v>
      </c>
      <c r="X165" s="1949" t="s">
        <v>2</v>
      </c>
      <c r="Y165" s="1950">
        <f>(((X96^2+Y96^2)*$M$80)+((X97^2+Y97^2)*$P$80)+((X98^2+Y98^2)*AH167))/(100*$C$9)</f>
        <v>0.30849006550139996</v>
      </c>
      <c r="Z165" s="1948">
        <f>(((AA96^2+AB96^2)*$C$80/1000)+((AA97^2+AB97^2)*$G$80/1000)+((AA98^2+AB98^2)*$J$80/1000))/$C$9^2</f>
        <v>1.0749266287256247E-2</v>
      </c>
      <c r="AA165" s="1949" t="s">
        <v>2</v>
      </c>
      <c r="AB165" s="1950">
        <f>(((AA96^2+AB96^2)*$M$80)+((AA97^2+AB97^2)*$P$80)+((AA98^2+AB98^2)*AK167))/(100*$C$9)</f>
        <v>0.30494244062159992</v>
      </c>
      <c r="AC165" s="1948">
        <f>(((AD96^2+AE96^2)*$C$80/1000)+((AD97^2+AE97^2)*$G$80/1000)+((AD98^2+AE98^2)*$J$80/1000))/$C$9^2</f>
        <v>1.0007000669981248E-2</v>
      </c>
      <c r="AD165" s="1949" t="s">
        <v>2</v>
      </c>
      <c r="AE165" s="1950">
        <f>(((AD96^2+AE96^2)*$M$80)+((AD97^2+AE97^2)*$P$80)+((AD98^2+AE98^2)*AN167))/(100*$C$9)</f>
        <v>0.28419620789519995</v>
      </c>
      <c r="AF165" s="1948">
        <f>(((AG96^2+AH96^2)*$C$80/1000)+((AG97^2+AH97^2)*$G$80/1000)+((AG98^2+AH98^2)*$J$80/1000))/$C$9^2</f>
        <v>9.0094457303437521E-3</v>
      </c>
      <c r="AG165" s="1949" t="s">
        <v>2</v>
      </c>
      <c r="AH165" s="1950">
        <f>(((AG96^2+AH96^2)*$M$80)+((AG97^2+AH97^2)*$P$80)+((AG98^2+AH98^2)*AQ167))/(100*$C$9)</f>
        <v>0.25476182343900011</v>
      </c>
      <c r="AI165" s="1948">
        <f>(((AJ96^2+AK96^2)*$C$80/1000)+((AJ97^2+AK97^2)*$G$80/1000)+((AJ98^2+AK98^2)*$J$80/1000))/$C$9^2</f>
        <v>7.9238982396375029E-3</v>
      </c>
      <c r="AJ165" s="1949" t="s">
        <v>2</v>
      </c>
      <c r="AK165" s="1950">
        <f>(((AJ96^2+AK96^2)*$M$80)+((AJ97^2+AK97^2)*$P$80)+((AJ98^2+AK98^2)*AT167))/(100*$C$9)</f>
        <v>0.22338047883420006</v>
      </c>
      <c r="AL165" s="1948">
        <f>(((AM96^2+AN96^2)*$C$80/1000)+((AM97^2+AN97^2)*$G$80/1000)+((AM98^2+AN98^2)*$J$80/1000))/$C$9^2</f>
        <v>6.6360839869125006E-3</v>
      </c>
      <c r="AM165" s="1949" t="s">
        <v>2</v>
      </c>
      <c r="AN165" s="1950">
        <f>(((AM96^2+AN96^2)*$M$80)+((AM97^2+AN97^2)*$P$80)+((AM98^2+AN98^2)*AW167))/(100*$C$9)</f>
        <v>0.18603554815260004</v>
      </c>
      <c r="AO165" s="1948">
        <f>(((AP96^2+AQ96^2)*$C$80/1000)+((AP97^2+AQ97^2)*$G$80/1000)+((AP98^2+AQ98^2)*$J$80/1000))/$C$9^2</f>
        <v>5.2118727581812498E-3</v>
      </c>
      <c r="AP165" s="1949" t="s">
        <v>2</v>
      </c>
      <c r="AQ165" s="1950">
        <f>(((AP96^2+AQ96^2)*$M$80)+((AP97^2+AQ97^2)*$P$80)+((AP98^2+AQ98^2)*AZ167))/(100*$C$9)</f>
        <v>0.14421496780439999</v>
      </c>
      <c r="AS165" s="231"/>
      <c r="AT165" s="231"/>
      <c r="AU165" s="231"/>
      <c r="AV165" s="231"/>
    </row>
    <row r="166" spans="1:48" s="230" customFormat="1" ht="16.5" customHeight="1" x14ac:dyDescent="0.25">
      <c r="A166" s="2442"/>
      <c r="B166" s="1951" t="s">
        <v>105</v>
      </c>
      <c r="C166" s="1952">
        <v>31.8</v>
      </c>
      <c r="D166" s="1953"/>
      <c r="E166" s="2444" t="s">
        <v>106</v>
      </c>
      <c r="F166" s="2444"/>
      <c r="G166" s="1954">
        <v>40.799999999999997</v>
      </c>
      <c r="H166" s="1955"/>
      <c r="I166" s="1956"/>
      <c r="J166" s="1957"/>
      <c r="K166" s="1958"/>
      <c r="L166" s="1959"/>
      <c r="M166" s="1960"/>
      <c r="N166" s="1958"/>
      <c r="O166" s="1959"/>
      <c r="P166" s="1960"/>
      <c r="Q166" s="1958"/>
      <c r="R166" s="1959"/>
      <c r="S166" s="1960"/>
      <c r="T166" s="2448"/>
      <c r="U166" s="2449"/>
      <c r="V166" s="2450"/>
      <c r="W166" s="2448"/>
      <c r="X166" s="2449"/>
      <c r="Y166" s="2450"/>
      <c r="Z166" s="2448"/>
      <c r="AA166" s="2449"/>
      <c r="AB166" s="2450"/>
      <c r="AC166" s="2448"/>
      <c r="AD166" s="2449"/>
      <c r="AE166" s="2450"/>
      <c r="AF166" s="2448"/>
      <c r="AG166" s="2449"/>
      <c r="AH166" s="2450"/>
      <c r="AI166" s="2448"/>
      <c r="AJ166" s="2449"/>
      <c r="AK166" s="2450"/>
      <c r="AL166" s="2448"/>
      <c r="AM166" s="2449"/>
      <c r="AN166" s="2450"/>
      <c r="AO166" s="2448"/>
      <c r="AP166" s="2449"/>
      <c r="AQ166" s="2450"/>
      <c r="AS166" s="231"/>
      <c r="AT166" s="231"/>
      <c r="AU166" s="231"/>
      <c r="AV166" s="231"/>
    </row>
    <row r="167" spans="1:48" s="230" customFormat="1" ht="16.5" customHeight="1" thickBot="1" x14ac:dyDescent="0.3">
      <c r="A167" s="2442"/>
      <c r="B167" s="1961" t="s">
        <v>59</v>
      </c>
      <c r="C167" s="1854">
        <v>144.5</v>
      </c>
      <c r="D167" s="1962"/>
      <c r="E167" s="1963"/>
      <c r="F167" s="1963" t="s">
        <v>57</v>
      </c>
      <c r="G167" s="1964">
        <v>80.25</v>
      </c>
      <c r="H167" s="2439" t="s">
        <v>52</v>
      </c>
      <c r="I167" s="2440"/>
      <c r="J167" s="1965">
        <v>57.6</v>
      </c>
      <c r="K167" s="2439" t="s">
        <v>53</v>
      </c>
      <c r="L167" s="2440"/>
      <c r="M167" s="1965">
        <v>10.78</v>
      </c>
      <c r="N167" s="2439" t="s">
        <v>56</v>
      </c>
      <c r="O167" s="2440"/>
      <c r="P167" s="1965">
        <v>7.2</v>
      </c>
      <c r="Q167" s="2439" t="s">
        <v>55</v>
      </c>
      <c r="R167" s="2440"/>
      <c r="S167" s="1965">
        <v>-0.5</v>
      </c>
      <c r="T167" s="2451"/>
      <c r="U167" s="2452"/>
      <c r="V167" s="2453"/>
      <c r="W167" s="2451"/>
      <c r="X167" s="2452"/>
      <c r="Y167" s="2453"/>
      <c r="Z167" s="2451"/>
      <c r="AA167" s="2452"/>
      <c r="AB167" s="2453"/>
      <c r="AC167" s="2451"/>
      <c r="AD167" s="2452"/>
      <c r="AE167" s="2453"/>
      <c r="AF167" s="2451"/>
      <c r="AG167" s="2452"/>
      <c r="AH167" s="2453"/>
      <c r="AI167" s="2451"/>
      <c r="AJ167" s="2452"/>
      <c r="AK167" s="2453"/>
      <c r="AL167" s="2451"/>
      <c r="AM167" s="2452"/>
      <c r="AN167" s="2453"/>
      <c r="AO167" s="2451"/>
      <c r="AP167" s="2452"/>
      <c r="AQ167" s="2453"/>
      <c r="AS167" s="231"/>
      <c r="AT167" s="231"/>
      <c r="AU167" s="231"/>
      <c r="AV167" s="231"/>
    </row>
    <row r="168" spans="1:48" s="230" customFormat="1" ht="16.5" customHeight="1" thickBot="1" x14ac:dyDescent="0.3">
      <c r="A168" s="2443"/>
      <c r="B168" s="2445" t="s">
        <v>29</v>
      </c>
      <c r="C168" s="2446"/>
      <c r="D168" s="2446"/>
      <c r="E168" s="2446"/>
      <c r="F168" s="2446"/>
      <c r="G168" s="2447"/>
      <c r="H168" s="1966">
        <f>I97+I98+H165+H164</f>
        <v>9.455997489792825</v>
      </c>
      <c r="I168" s="1967" t="s">
        <v>2</v>
      </c>
      <c r="J168" s="1968">
        <f>J97+J98+J165+J164</f>
        <v>1.6314324268361999</v>
      </c>
      <c r="K168" s="1966">
        <f>L97+L98+K165+K164</f>
        <v>9.5311483092241129</v>
      </c>
      <c r="L168" s="1967" t="s">
        <v>2</v>
      </c>
      <c r="M168" s="1968">
        <f>M97+M98+M165+M164</f>
        <v>1.6362325989407998</v>
      </c>
      <c r="N168" s="1966">
        <f>O97+O98+N165+N164</f>
        <v>9.6423930448162878</v>
      </c>
      <c r="O168" s="1967" t="s">
        <v>2</v>
      </c>
      <c r="P168" s="1968">
        <f>P97+P98+P165+P164</f>
        <v>1.6840790315406</v>
      </c>
      <c r="Q168" s="1966">
        <f>R97+R98+Q165+Q164</f>
        <v>9.8919574224584998</v>
      </c>
      <c r="R168" s="1967" t="s">
        <v>2</v>
      </c>
      <c r="S168" s="1968">
        <f>S97+S98+S165+S164</f>
        <v>1.6888271109719999</v>
      </c>
      <c r="T168" s="1966">
        <f>U97+U98+T165+T164</f>
        <v>9.8558567860512181</v>
      </c>
      <c r="U168" s="1967" t="s">
        <v>2</v>
      </c>
      <c r="V168" s="1968">
        <f>V97+V98+V165+V164</f>
        <v>1.662956933319</v>
      </c>
      <c r="W168" s="1966">
        <f>X97+X98+W165+W164</f>
        <v>9.7596827840602121</v>
      </c>
      <c r="X168" s="1967" t="s">
        <v>2</v>
      </c>
      <c r="Y168" s="1968">
        <f>Y97+Y98+Y165+Y164</f>
        <v>1.6362900655013999</v>
      </c>
      <c r="Z168" s="1966">
        <f>AA97+AA98+Z165+Z164</f>
        <v>9.7085492662872568</v>
      </c>
      <c r="AA168" s="1967" t="s">
        <v>2</v>
      </c>
      <c r="AB168" s="1968">
        <f>AB97+AB98+AB165+AB164</f>
        <v>1.5697424406215998</v>
      </c>
      <c r="AC168" s="1966">
        <f>AD97+AD98+AC165+AC164</f>
        <v>9.3718070006699818</v>
      </c>
      <c r="AD168" s="1967" t="s">
        <v>2</v>
      </c>
      <c r="AE168" s="1968">
        <f>AE97+AE98+AE165+AE164</f>
        <v>1.5099962078951998</v>
      </c>
      <c r="AF168" s="1966">
        <f>AG97+AG98+AF165+AF164</f>
        <v>8.893809445730346</v>
      </c>
      <c r="AG168" s="1967" t="s">
        <v>2</v>
      </c>
      <c r="AH168" s="1968">
        <f>AH97+AH98+AH165+AH164</f>
        <v>1.4625618234390001</v>
      </c>
      <c r="AI168" s="1966">
        <f>AJ97+AJ98+AI165+AI164</f>
        <v>8.3317238982396393</v>
      </c>
      <c r="AJ168" s="1967" t="s">
        <v>2</v>
      </c>
      <c r="AK168" s="1968">
        <f>AK97+AK98+AK165+AK164</f>
        <v>1.4161804788341998</v>
      </c>
      <c r="AL168" s="1966">
        <f>AM97+AM98+AL165+AL164</f>
        <v>7.6254360839869122</v>
      </c>
      <c r="AM168" s="1967" t="s">
        <v>2</v>
      </c>
      <c r="AN168" s="1968">
        <f>AN97+AN98+AN165+AN164</f>
        <v>1.3668355481525998</v>
      </c>
      <c r="AO168" s="1966">
        <f>AP97+AP98+AO165+AO164</f>
        <v>6.7540118727581806</v>
      </c>
      <c r="AP168" s="1967" t="s">
        <v>2</v>
      </c>
      <c r="AQ168" s="1968">
        <f>AQ97+AQ98+AQ165+AQ164</f>
        <v>1.2770149678044</v>
      </c>
      <c r="AS168" s="231"/>
      <c r="AT168" s="231"/>
      <c r="AU168" s="231"/>
      <c r="AV168" s="231"/>
    </row>
    <row r="169" spans="1:48" s="230" customFormat="1" ht="16.5" customHeight="1" x14ac:dyDescent="0.25">
      <c r="A169" s="2441" t="s">
        <v>1</v>
      </c>
      <c r="B169" s="1939" t="s">
        <v>22</v>
      </c>
      <c r="C169" s="1940"/>
      <c r="D169" s="1940" t="s">
        <v>45</v>
      </c>
      <c r="E169" s="1940"/>
      <c r="F169" s="1940"/>
      <c r="G169" s="1940"/>
      <c r="H169" s="1942">
        <f>$C$84/1000</f>
        <v>3.2500000000000001E-2</v>
      </c>
      <c r="I169" s="1943" t="s">
        <v>2</v>
      </c>
      <c r="J169" s="1944">
        <f>$G$84/1000</f>
        <v>4.6399999999999997E-2</v>
      </c>
      <c r="K169" s="1942">
        <f>$C$84/1000</f>
        <v>3.2500000000000001E-2</v>
      </c>
      <c r="L169" s="1943" t="s">
        <v>2</v>
      </c>
      <c r="M169" s="1944">
        <f>$G$84/1000</f>
        <v>4.6399999999999997E-2</v>
      </c>
      <c r="N169" s="1942">
        <f>$C$84/1000</f>
        <v>3.2500000000000001E-2</v>
      </c>
      <c r="O169" s="1943" t="s">
        <v>2</v>
      </c>
      <c r="P169" s="1944">
        <f>$G$84/1000</f>
        <v>4.6399999999999997E-2</v>
      </c>
      <c r="Q169" s="1942">
        <f>$C$84/1000</f>
        <v>3.2500000000000001E-2</v>
      </c>
      <c r="R169" s="1943" t="s">
        <v>2</v>
      </c>
      <c r="S169" s="1944">
        <f>$G$84/1000</f>
        <v>4.6399999999999997E-2</v>
      </c>
      <c r="T169" s="1942">
        <f>$C$84/1000</f>
        <v>3.2500000000000001E-2</v>
      </c>
      <c r="U169" s="1943" t="s">
        <v>2</v>
      </c>
      <c r="V169" s="1944">
        <f>$G$84/1000</f>
        <v>4.6399999999999997E-2</v>
      </c>
      <c r="W169" s="1942">
        <f>$C$84/1000</f>
        <v>3.2500000000000001E-2</v>
      </c>
      <c r="X169" s="1943" t="s">
        <v>2</v>
      </c>
      <c r="Y169" s="1944">
        <f>$G$84/1000</f>
        <v>4.6399999999999997E-2</v>
      </c>
      <c r="Z169" s="1942">
        <f>$C$84/1000</f>
        <v>3.2500000000000001E-2</v>
      </c>
      <c r="AA169" s="1943" t="s">
        <v>2</v>
      </c>
      <c r="AB169" s="1944">
        <f>$G$84/1000</f>
        <v>4.6399999999999997E-2</v>
      </c>
      <c r="AC169" s="1942">
        <f>$C$84/1000</f>
        <v>3.2500000000000001E-2</v>
      </c>
      <c r="AD169" s="1943" t="s">
        <v>2</v>
      </c>
      <c r="AE169" s="1944">
        <f>$G$84/1000</f>
        <v>4.6399999999999997E-2</v>
      </c>
      <c r="AF169" s="1942">
        <f>$C$84/1000</f>
        <v>3.2500000000000001E-2</v>
      </c>
      <c r="AG169" s="1943" t="s">
        <v>2</v>
      </c>
      <c r="AH169" s="1944">
        <f>$G$84/1000</f>
        <v>4.6399999999999997E-2</v>
      </c>
      <c r="AI169" s="1942">
        <f>$C$84/1000</f>
        <v>3.2500000000000001E-2</v>
      </c>
      <c r="AJ169" s="1943" t="s">
        <v>2</v>
      </c>
      <c r="AK169" s="1944">
        <f>$G$84/1000</f>
        <v>4.6399999999999997E-2</v>
      </c>
      <c r="AL169" s="1942">
        <f>$C$84/1000</f>
        <v>3.2500000000000001E-2</v>
      </c>
      <c r="AM169" s="1943" t="s">
        <v>2</v>
      </c>
      <c r="AN169" s="1944">
        <f>$G$84/1000</f>
        <v>4.6399999999999997E-2</v>
      </c>
      <c r="AO169" s="1942">
        <f>$C$84/1000</f>
        <v>3.2500000000000001E-2</v>
      </c>
      <c r="AP169" s="1943" t="s">
        <v>2</v>
      </c>
      <c r="AQ169" s="1944">
        <f>$G$84/1000</f>
        <v>4.6399999999999997E-2</v>
      </c>
      <c r="AS169" s="231"/>
      <c r="AT169" s="231"/>
      <c r="AU169" s="231"/>
      <c r="AV169" s="231"/>
    </row>
    <row r="170" spans="1:48" s="230" customFormat="1" ht="16.5" customHeight="1" thickBot="1" x14ac:dyDescent="0.3">
      <c r="A170" s="2442"/>
      <c r="B170" s="1945" t="s">
        <v>23</v>
      </c>
      <c r="C170" s="1946"/>
      <c r="D170" s="1946" t="s">
        <v>24</v>
      </c>
      <c r="E170" s="1946"/>
      <c r="F170" s="1946"/>
      <c r="G170" s="1972"/>
      <c r="H170" s="1948">
        <f>(((I96^2+J96^2)*$C$85/1000)+((I97^2+J97^2)*$G$85/1000)+((I98^2+J98^2)*$J$85/1000))/$C$9^2</f>
        <v>1.0478945184997502E-2</v>
      </c>
      <c r="I170" s="1949" t="s">
        <v>2</v>
      </c>
      <c r="J170" s="1950">
        <f>(((I104^2+J104^2)*$M$85)+((I105^2+J105^2)*$P$85)+((I106^2+J106^2)*S172))/(100*$C$9)</f>
        <v>0.36705553708320005</v>
      </c>
      <c r="K170" s="1948">
        <f>(((L96^2+M96^2)*$C$85/1000)+((L97^2+M97^2)*$G$85/1000)+((L98^2+M98^2)*$J$85/1000))/$C$9^2</f>
        <v>1.063215076104E-2</v>
      </c>
      <c r="L170" s="1949" t="s">
        <v>2</v>
      </c>
      <c r="M170" s="1950">
        <f>(((L104^2+M104^2)*$M$85)+((L105^2+M105^2)*$P$85)+((L106^2+M106^2)*V172))/(100*$C$9)</f>
        <v>0.36538920540000003</v>
      </c>
      <c r="N170" s="1948">
        <f>(((O96^2+P96^2)*$C$85/1000)+((O97^2+P97^2)*$G$85/1000)+((O98^2+P98^2)*$J$85/1000))/$C$9^2</f>
        <v>1.0886098921830002E-2</v>
      </c>
      <c r="O170" s="1949" t="s">
        <v>2</v>
      </c>
      <c r="P170" s="1950">
        <f>(((O104^2+P104^2)*$M$85)+((O105^2+P105^2)*$P$85)+((O106^2+P106^2)*Y172))/(100*$C$9)</f>
        <v>0.36167630466600009</v>
      </c>
      <c r="Q170" s="1948">
        <f>(((R96^2+S96^2)*$C$85/1000)+((R97^2+S97^2)*$G$85/1000)+((R98^2+S98^2)*$J$85/1000))/$C$9^2</f>
        <v>1.1463948072224998E-2</v>
      </c>
      <c r="R170" s="1949" t="s">
        <v>2</v>
      </c>
      <c r="S170" s="1950">
        <f>(((R104^2+S104^2)*$M$85)+((R105^2+S105^2)*$P$85)+((R106^2+S106^2)*AB172))/(100*$C$9)</f>
        <v>0.38831605626959997</v>
      </c>
      <c r="T170" s="1948">
        <f>(((U96^2+V96^2)*$C$85/1000)+((U97^2+V97^2)*$G$85/1000)+((U98^2+V98^2)*$J$85/1000))/$C$9^2</f>
        <v>1.1357797222350001E-2</v>
      </c>
      <c r="U170" s="1949" t="s">
        <v>2</v>
      </c>
      <c r="V170" s="1950">
        <f>(((U104^2+V104^2)*$M$85)+((U105^2+V105^2)*$P$85)+((U106^2+V106^2)*AE172))/(100*$C$9)</f>
        <v>0.39498035533200015</v>
      </c>
      <c r="W170" s="1948">
        <f>(((X96^2+Y96^2)*$C$85/1000)+((X97^2+Y97^2)*$G$85/1000)+((X98^2+Y98^2)*$J$85/1000))/$C$9^2</f>
        <v>1.11734962467075E-2</v>
      </c>
      <c r="X170" s="1949" t="s">
        <v>2</v>
      </c>
      <c r="Y170" s="1950">
        <f>(((X104^2+Y104^2)*$M$85)+((X105^2+Y105^2)*$P$85)+((X106^2+Y106^2)*AH172))/(100*$C$9)</f>
        <v>0.39448434454559994</v>
      </c>
      <c r="Z170" s="1948">
        <f>(((AA96^2+AB96^2)*$C$85/1000)+((AA97^2+AB97^2)*$G$85/1000)+((AA98^2+AB98^2)*$J$85/1000))/$C$9^2</f>
        <v>1.1035622651467498E-2</v>
      </c>
      <c r="AA170" s="1949" t="s">
        <v>2</v>
      </c>
      <c r="AB170" s="1950">
        <f>(((AA104^2+AB104^2)*$M$85)+((AA105^2+AB105^2)*$P$85)+((AA106^2+AB106^2)*AK172))/(100*$C$9)</f>
        <v>0.39976078973759993</v>
      </c>
      <c r="AC170" s="1948">
        <f>(((AD96^2+AE96^2)*$C$85/1000)+((AD97^2+AE97^2)*$G$85/1000)+((AD98^2+AE98^2)*$J$85/1000))/$C$9^2</f>
        <v>1.0272590830259998E-2</v>
      </c>
      <c r="AD170" s="1949" t="s">
        <v>2</v>
      </c>
      <c r="AE170" s="1950">
        <f>(((AD104^2+AE104^2)*$M$85)+((AD105^2+AE105^2)*$P$85)+((AD106^2+AE106^2)*AN172))/(100*$C$9)</f>
        <v>0.38183136802199996</v>
      </c>
      <c r="AF170" s="1948">
        <f>(((AG96^2+AH96^2)*$C$85/1000)+((AG97^2+AH97^2)*$G$85/1000)+((AG98^2+AH98^2)*$J$85/1000))/$C$9^2</f>
        <v>9.2514919878000021E-3</v>
      </c>
      <c r="AG170" s="1949" t="s">
        <v>2</v>
      </c>
      <c r="AH170" s="1950">
        <f>(((AG104^2+AH104^2)*$M$85)+((AG105^2+AH105^2)*$P$85)+((AG106^2+AH106^2)*AQ172))/(100*$C$9)</f>
        <v>0.33796204602840002</v>
      </c>
      <c r="AI170" s="1948">
        <f>(((AJ96^2+AK96^2)*$C$85/1000)+((AJ97^2+AK97^2)*$G$85/1000)+((AJ98^2+AK98^2)*$J$85/1000))/$C$9^2</f>
        <v>8.1387862038225026E-3</v>
      </c>
      <c r="AJ170" s="1949" t="s">
        <v>2</v>
      </c>
      <c r="AK170" s="1950">
        <f>(((AJ104^2+AK104^2)*$M$85)+((AJ105^2+AK105^2)*$P$85)+((AJ106^2+AK106^2)*AT172))/(100*$C$9)</f>
        <v>0.29412260317799993</v>
      </c>
      <c r="AL170" s="1948">
        <f>(((AM96^2+AN96^2)*$C$85/1000)+((AM97^2+AN97^2)*$G$85/1000)+((AM98^2+AN98^2)*$J$85/1000))/$C$9^2</f>
        <v>6.8185382320800018E-3</v>
      </c>
      <c r="AM170" s="1949" t="s">
        <v>2</v>
      </c>
      <c r="AN170" s="1950">
        <f>(((AM104^2+AN104^2)*$M$85)+((AM105^2+AN105^2)*$P$85)+((AM106^2+AN106^2)*AW172))/(100*$C$9)</f>
        <v>0.25179856664399997</v>
      </c>
      <c r="AO170" s="1948">
        <f>(((AP96^2+AQ96^2)*$C$85/1000)+((AP97^2+AQ97^2)*$G$85/1000)+((AP98^2+AQ98^2)*$J$85/1000))/$C$9^2</f>
        <v>5.3597069667450006E-3</v>
      </c>
      <c r="AP170" s="1949" t="s">
        <v>2</v>
      </c>
      <c r="AQ170" s="1950">
        <f>(((AP104^2+AQ104^2)*$M$85)+((AP105^2+AQ105^2)*$P$85)+((AP106^2+AQ106^2)*AZ172))/(100*$C$9)</f>
        <v>0.20855866271399998</v>
      </c>
      <c r="AS170" s="231"/>
      <c r="AT170" s="231"/>
      <c r="AU170" s="231"/>
      <c r="AV170" s="231"/>
    </row>
    <row r="171" spans="1:48" s="230" customFormat="1" ht="16.5" customHeight="1" x14ac:dyDescent="0.25">
      <c r="A171" s="2442"/>
      <c r="B171" s="1951" t="s">
        <v>105</v>
      </c>
      <c r="C171" s="1952">
        <v>32.5</v>
      </c>
      <c r="D171" s="1953"/>
      <c r="E171" s="2444" t="s">
        <v>106</v>
      </c>
      <c r="F171" s="2444"/>
      <c r="G171" s="1954">
        <v>46.4</v>
      </c>
      <c r="H171" s="1955"/>
      <c r="I171" s="1956"/>
      <c r="J171" s="1957"/>
      <c r="K171" s="1958"/>
      <c r="L171" s="1959"/>
      <c r="M171" s="1960"/>
      <c r="N171" s="1958"/>
      <c r="O171" s="1959"/>
      <c r="P171" s="1960"/>
      <c r="Q171" s="1958"/>
      <c r="R171" s="1959"/>
      <c r="S171" s="1960"/>
      <c r="T171" s="2433"/>
      <c r="U171" s="2434"/>
      <c r="V171" s="2435"/>
      <c r="W171" s="2433"/>
      <c r="X171" s="2434"/>
      <c r="Y171" s="2435"/>
      <c r="Z171" s="2433"/>
      <c r="AA171" s="2434"/>
      <c r="AB171" s="2435"/>
      <c r="AC171" s="2433"/>
      <c r="AD171" s="2434"/>
      <c r="AE171" s="2435"/>
      <c r="AF171" s="2433"/>
      <c r="AG171" s="2434"/>
      <c r="AH171" s="2435"/>
      <c r="AI171" s="2433"/>
      <c r="AJ171" s="2434"/>
      <c r="AK171" s="2435"/>
      <c r="AL171" s="2433"/>
      <c r="AM171" s="2434"/>
      <c r="AN171" s="2435"/>
      <c r="AO171" s="2433"/>
      <c r="AP171" s="2434"/>
      <c r="AQ171" s="2435"/>
      <c r="AS171" s="231"/>
      <c r="AT171" s="231"/>
      <c r="AU171" s="231"/>
      <c r="AV171" s="231"/>
    </row>
    <row r="172" spans="1:48" s="230" customFormat="1" ht="16.5" customHeight="1" thickBot="1" x14ac:dyDescent="0.3">
      <c r="A172" s="2442"/>
      <c r="B172" s="1961" t="s">
        <v>59</v>
      </c>
      <c r="C172" s="1854">
        <v>150.1</v>
      </c>
      <c r="D172" s="1962"/>
      <c r="E172" s="1963"/>
      <c r="F172" s="1963" t="s">
        <v>57</v>
      </c>
      <c r="G172" s="1964">
        <v>76.239999999999995</v>
      </c>
      <c r="H172" s="2439" t="s">
        <v>52</v>
      </c>
      <c r="I172" s="2440"/>
      <c r="J172" s="1965">
        <v>58.7</v>
      </c>
      <c r="K172" s="2439" t="s">
        <v>53</v>
      </c>
      <c r="L172" s="2440"/>
      <c r="M172" s="1965">
        <v>10.68</v>
      </c>
      <c r="N172" s="2439" t="s">
        <v>56</v>
      </c>
      <c r="O172" s="2440"/>
      <c r="P172" s="1965">
        <v>7</v>
      </c>
      <c r="Q172" s="2439" t="s">
        <v>55</v>
      </c>
      <c r="R172" s="2440"/>
      <c r="S172" s="1965">
        <v>-0.4</v>
      </c>
      <c r="T172" s="2436"/>
      <c r="U172" s="2437"/>
      <c r="V172" s="2438"/>
      <c r="W172" s="2436"/>
      <c r="X172" s="2437"/>
      <c r="Y172" s="2438"/>
      <c r="Z172" s="2436"/>
      <c r="AA172" s="2437"/>
      <c r="AB172" s="2438"/>
      <c r="AC172" s="2436"/>
      <c r="AD172" s="2437"/>
      <c r="AE172" s="2438"/>
      <c r="AF172" s="2436"/>
      <c r="AG172" s="2437"/>
      <c r="AH172" s="2438"/>
      <c r="AI172" s="2436"/>
      <c r="AJ172" s="2437"/>
      <c r="AK172" s="2438"/>
      <c r="AL172" s="2436"/>
      <c r="AM172" s="2437"/>
      <c r="AN172" s="2438"/>
      <c r="AO172" s="2436"/>
      <c r="AP172" s="2437"/>
      <c r="AQ172" s="2438"/>
      <c r="AS172" s="231"/>
      <c r="AT172" s="231"/>
      <c r="AU172" s="231"/>
      <c r="AV172" s="231"/>
    </row>
    <row r="173" spans="1:48" s="363" customFormat="1" ht="16.5" customHeight="1" thickBot="1" x14ac:dyDescent="0.3">
      <c r="A173" s="2443"/>
      <c r="B173" s="2445" t="s">
        <v>29</v>
      </c>
      <c r="C173" s="2446"/>
      <c r="D173" s="2446"/>
      <c r="E173" s="2446"/>
      <c r="F173" s="2446"/>
      <c r="G173" s="2447"/>
      <c r="H173" s="1976">
        <f>H169+H170+I105+I106</f>
        <v>11.043978945184996</v>
      </c>
      <c r="I173" s="1977" t="s">
        <v>2</v>
      </c>
      <c r="J173" s="1978">
        <f>J105+J106+J170+J169</f>
        <v>1.7994555370831999</v>
      </c>
      <c r="K173" s="1976">
        <f>K169+K170+L105+L106</f>
        <v>10.963132150761041</v>
      </c>
      <c r="L173" s="1977" t="s">
        <v>2</v>
      </c>
      <c r="M173" s="1978">
        <f>M105+M106+M170+M169</f>
        <v>1.8127892054000001</v>
      </c>
      <c r="N173" s="1976">
        <f>N169+N170+O105+O106</f>
        <v>10.90638609892183</v>
      </c>
      <c r="O173" s="1977" t="s">
        <v>2</v>
      </c>
      <c r="P173" s="1978">
        <f>P105+P106+P170+P169</f>
        <v>1.7490763046660003</v>
      </c>
      <c r="Q173" s="1976">
        <f>Q169+Q170+R105+R106</f>
        <v>11.296963948072225</v>
      </c>
      <c r="R173" s="1977" t="s">
        <v>2</v>
      </c>
      <c r="S173" s="1978">
        <f>S105+S106+S170+S169</f>
        <v>1.7967160562695998</v>
      </c>
      <c r="T173" s="1976">
        <f>T169+T170+U105+U106</f>
        <v>11.386857797222351</v>
      </c>
      <c r="U173" s="1977" t="s">
        <v>2</v>
      </c>
      <c r="V173" s="1978">
        <f>V105+V106+V170+V169</f>
        <v>1.7913803553320002</v>
      </c>
      <c r="W173" s="1976">
        <f>W169+W170+X105+X106</f>
        <v>11.356673496246708</v>
      </c>
      <c r="X173" s="1977" t="s">
        <v>2</v>
      </c>
      <c r="Y173" s="1978">
        <f>Y105+Y106+Y170+Y169</f>
        <v>1.8028843445456</v>
      </c>
      <c r="Z173" s="1976">
        <f>Z169+Z170+AA105+AA106</f>
        <v>11.428535622651468</v>
      </c>
      <c r="AA173" s="1977" t="s">
        <v>2</v>
      </c>
      <c r="AB173" s="1978">
        <f>AB105+AB106+AB170+AB169</f>
        <v>1.7931607897375998</v>
      </c>
      <c r="AC173" s="1976">
        <f>AC169+AC170+AD105+AD106</f>
        <v>11.160772590830259</v>
      </c>
      <c r="AD173" s="1977" t="s">
        <v>2</v>
      </c>
      <c r="AE173" s="1978">
        <f>AE105+AE106+AE170+AE169</f>
        <v>1.7572313680220002</v>
      </c>
      <c r="AF173" s="1976">
        <f>AF169+AF170+AG105+AG106</f>
        <v>10.478751491987801</v>
      </c>
      <c r="AG173" s="1977" t="s">
        <v>2</v>
      </c>
      <c r="AH173" s="1978">
        <f>AH105+AH106+AH170+AH169</f>
        <v>1.6953620460284</v>
      </c>
      <c r="AI173" s="1976">
        <f>AI169+AI170+AJ105+AJ106</f>
        <v>9.7936387862038217</v>
      </c>
      <c r="AJ173" s="1977" t="s">
        <v>2</v>
      </c>
      <c r="AK173" s="1978">
        <f>AK105+AK106+AK170+AK169</f>
        <v>1.630522603178</v>
      </c>
      <c r="AL173" s="1976">
        <f>AL169+AL170+AM105+AM106</f>
        <v>9.0753185382320787</v>
      </c>
      <c r="AM173" s="1977" t="s">
        <v>2</v>
      </c>
      <c r="AN173" s="1978">
        <f>AN105+AN106+AN170+AN169</f>
        <v>1.5761985666439999</v>
      </c>
      <c r="AO173" s="1976">
        <f>AO169+AO170+AP105+AP106</f>
        <v>8.2758597069667452</v>
      </c>
      <c r="AP173" s="1977" t="s">
        <v>2</v>
      </c>
      <c r="AQ173" s="1978">
        <f>AQ105+AQ106+AQ170+AQ169</f>
        <v>1.511958662714</v>
      </c>
      <c r="AS173" s="467"/>
      <c r="AT173" s="467"/>
      <c r="AU173" s="467"/>
      <c r="AV173" s="467"/>
    </row>
    <row r="174" spans="1:48" s="230" customFormat="1" ht="16.5" customHeight="1" x14ac:dyDescent="0.25">
      <c r="A174" s="2430" t="s">
        <v>20</v>
      </c>
      <c r="B174" s="2431"/>
      <c r="C174" s="2431"/>
      <c r="D174" s="2431"/>
      <c r="E174" s="2431"/>
      <c r="F174" s="2431"/>
      <c r="G174" s="2432"/>
      <c r="H174" s="2014"/>
      <c r="I174" s="2015"/>
      <c r="J174" s="1957"/>
      <c r="K174" s="2014"/>
      <c r="L174" s="2015"/>
      <c r="M174" s="1957"/>
      <c r="N174" s="2014"/>
      <c r="O174" s="2015"/>
      <c r="P174" s="1957"/>
      <c r="Q174" s="2014"/>
      <c r="R174" s="2015"/>
      <c r="S174" s="1957"/>
      <c r="T174" s="2014"/>
      <c r="U174" s="2015"/>
      <c r="V174" s="1957"/>
      <c r="W174" s="2014"/>
      <c r="X174" s="2015"/>
      <c r="Y174" s="1957"/>
      <c r="Z174" s="2014"/>
      <c r="AA174" s="2015"/>
      <c r="AB174" s="1957"/>
      <c r="AC174" s="2014"/>
      <c r="AD174" s="2015"/>
      <c r="AE174" s="1957"/>
      <c r="AF174" s="2014"/>
      <c r="AG174" s="2015"/>
      <c r="AH174" s="1957"/>
      <c r="AI174" s="2014"/>
      <c r="AJ174" s="2015"/>
      <c r="AK174" s="1957"/>
      <c r="AL174" s="2014"/>
      <c r="AM174" s="2015"/>
      <c r="AN174" s="1957"/>
      <c r="AO174" s="2014"/>
      <c r="AP174" s="2015"/>
      <c r="AQ174" s="1957"/>
      <c r="AS174" s="231"/>
      <c r="AT174" s="231"/>
      <c r="AU174" s="231"/>
      <c r="AV174" s="231"/>
    </row>
    <row r="175" spans="1:48" s="230" customFormat="1" ht="16.5" customHeight="1" thickBot="1" x14ac:dyDescent="0.3">
      <c r="A175" s="2016" t="s">
        <v>21</v>
      </c>
      <c r="B175" s="2017"/>
      <c r="C175" s="2018"/>
      <c r="D175" s="2017"/>
      <c r="E175" s="1962"/>
      <c r="F175" s="2017" t="s">
        <v>25</v>
      </c>
      <c r="G175" s="1856"/>
      <c r="H175" s="2019">
        <f>SUM(H168,H173)</f>
        <v>20.499976434977821</v>
      </c>
      <c r="I175" s="2020" t="s">
        <v>2</v>
      </c>
      <c r="J175" s="2021">
        <f>SUM(J168,J173)</f>
        <v>3.4308879639193997</v>
      </c>
      <c r="K175" s="2019">
        <f>SUM(K168,K173)</f>
        <v>20.494280459985156</v>
      </c>
      <c r="L175" s="2020" t="s">
        <v>2</v>
      </c>
      <c r="M175" s="2021">
        <f>SUM(M168,M173)</f>
        <v>3.4490218043407999</v>
      </c>
      <c r="N175" s="2019">
        <f>SUM(N168,N173)</f>
        <v>20.548779143738116</v>
      </c>
      <c r="O175" s="2020" t="s">
        <v>2</v>
      </c>
      <c r="P175" s="2021">
        <f>SUM(P168,P173)</f>
        <v>3.4331553362066005</v>
      </c>
      <c r="Q175" s="2019">
        <f>SUM(Q168,Q173)</f>
        <v>21.188921370530725</v>
      </c>
      <c r="R175" s="2020" t="s">
        <v>2</v>
      </c>
      <c r="S175" s="2021">
        <f>SUM(S168,S173)</f>
        <v>3.4855431672416</v>
      </c>
      <c r="T175" s="2019">
        <f>SUM(T168,T173)</f>
        <v>21.242714583273568</v>
      </c>
      <c r="U175" s="2020" t="s">
        <v>2</v>
      </c>
      <c r="V175" s="2021">
        <f>SUM(V168,V173)</f>
        <v>3.4543372886510002</v>
      </c>
      <c r="W175" s="2019">
        <f>SUM(W168,W173)</f>
        <v>21.11635628030692</v>
      </c>
      <c r="X175" s="2020" t="s">
        <v>2</v>
      </c>
      <c r="Y175" s="2021">
        <f>SUM(Y168,Y173)</f>
        <v>3.4391744100469999</v>
      </c>
      <c r="Z175" s="2019">
        <f>SUM(Z168,Z173)</f>
        <v>21.137084888938723</v>
      </c>
      <c r="AA175" s="2020" t="s">
        <v>2</v>
      </c>
      <c r="AB175" s="2021">
        <f>SUM(AB168,AB173)</f>
        <v>3.3629032303591995</v>
      </c>
      <c r="AC175" s="2019">
        <f>SUM(AC168,AC173)</f>
        <v>20.532579591500241</v>
      </c>
      <c r="AD175" s="2020" t="s">
        <v>2</v>
      </c>
      <c r="AE175" s="2021">
        <f>SUM(AE168,AE173)</f>
        <v>3.2672275759172003</v>
      </c>
      <c r="AF175" s="2019">
        <f>SUM(AF168,AF173)</f>
        <v>19.372560937718148</v>
      </c>
      <c r="AG175" s="2020" t="s">
        <v>2</v>
      </c>
      <c r="AH175" s="2021">
        <f>SUM(AH168,AH173)</f>
        <v>3.1579238694674001</v>
      </c>
      <c r="AI175" s="2019">
        <f>SUM(AI168,AI173)</f>
        <v>18.125362684443459</v>
      </c>
      <c r="AJ175" s="2020" t="s">
        <v>2</v>
      </c>
      <c r="AK175" s="2021">
        <f>SUM(AK168,AK173)</f>
        <v>3.0467030820121996</v>
      </c>
      <c r="AL175" s="2019">
        <f>SUM(AL168,AL173)</f>
        <v>16.700754622218991</v>
      </c>
      <c r="AM175" s="2020" t="s">
        <v>2</v>
      </c>
      <c r="AN175" s="2021">
        <f>SUM(AN168,AN173)</f>
        <v>2.9430341147965997</v>
      </c>
      <c r="AO175" s="2019">
        <f>SUM(AO168,AO173)</f>
        <v>15.029871579724926</v>
      </c>
      <c r="AP175" s="2020" t="s">
        <v>2</v>
      </c>
      <c r="AQ175" s="2021">
        <f>SUM(AQ168,AQ173)</f>
        <v>2.7889736305184001</v>
      </c>
      <c r="AS175" s="231"/>
      <c r="AT175" s="231"/>
      <c r="AU175" s="231"/>
      <c r="AV175" s="231"/>
    </row>
    <row r="176" spans="1:48" ht="17.25" customHeight="1" x14ac:dyDescent="0.25">
      <c r="A176" s="1996" t="s">
        <v>107</v>
      </c>
      <c r="B176" s="2022"/>
      <c r="C176" s="2022"/>
      <c r="D176" s="2022"/>
      <c r="E176" s="2022"/>
      <c r="F176" s="2022"/>
      <c r="H176" s="2022"/>
      <c r="I176" s="2023">
        <f>J175/H175</f>
        <v>0.16736058086708291</v>
      </c>
      <c r="J176" s="2022"/>
      <c r="K176" s="2022"/>
      <c r="L176" s="2023">
        <f>M175/K175</f>
        <v>0.16829191983953645</v>
      </c>
      <c r="M176" s="2022"/>
      <c r="N176" s="2022"/>
      <c r="O176" s="2023">
        <f>P175/N175</f>
        <v>0.16707344568705412</v>
      </c>
      <c r="P176" s="2022"/>
      <c r="Q176" s="2022"/>
      <c r="R176" s="2023">
        <f>S175/Q175</f>
        <v>0.16449837659453717</v>
      </c>
      <c r="S176" s="2022"/>
      <c r="T176" s="2022"/>
      <c r="U176" s="2023">
        <f>V175/T175</f>
        <v>0.16261279956051061</v>
      </c>
      <c r="V176" s="2022"/>
      <c r="W176" s="2022"/>
      <c r="X176" s="2023">
        <f>Y175/W175</f>
        <v>0.16286779614787841</v>
      </c>
      <c r="Y176" s="2022"/>
      <c r="Z176" s="2022"/>
      <c r="AA176" s="2023">
        <f>AB175/Z175</f>
        <v>0.15909966998897965</v>
      </c>
      <c r="AB176" s="2022"/>
      <c r="AC176" s="2022"/>
      <c r="AD176" s="2023">
        <f>AE175/AC175</f>
        <v>0.15912406725892914</v>
      </c>
      <c r="AE176" s="2022"/>
      <c r="AF176" s="2022"/>
      <c r="AG176" s="2023">
        <f>AH175/AF175</f>
        <v>0.16301013994071167</v>
      </c>
      <c r="AH176" s="2022"/>
      <c r="AI176" s="2022"/>
      <c r="AJ176" s="2023">
        <f>AK175/AI175</f>
        <v>0.1680905996229862</v>
      </c>
      <c r="AK176" s="2022"/>
      <c r="AL176" s="2022"/>
      <c r="AM176" s="2023">
        <f>AN175/AL175</f>
        <v>0.17622162479299786</v>
      </c>
      <c r="AN176" s="2022"/>
      <c r="AO176" s="2022"/>
      <c r="AP176" s="2023">
        <f>AQ175/AO175</f>
        <v>0.1855620399498745</v>
      </c>
      <c r="AQ176" s="2022"/>
    </row>
    <row r="177" spans="1:43" ht="16.5" x14ac:dyDescent="0.25">
      <c r="A177" s="1996" t="s">
        <v>432</v>
      </c>
      <c r="B177" s="1996"/>
      <c r="C177" s="1996"/>
      <c r="D177" s="2024"/>
      <c r="E177" s="2024"/>
      <c r="F177" s="1996"/>
      <c r="G177" s="1997"/>
      <c r="H177" s="1997"/>
      <c r="I177" s="1997"/>
      <c r="J177" s="1997"/>
      <c r="K177" s="1997"/>
      <c r="L177" s="1997"/>
      <c r="M177" s="1997"/>
      <c r="N177" s="1997"/>
      <c r="O177" s="1997"/>
      <c r="P177" s="1997"/>
      <c r="Q177" s="1997"/>
      <c r="R177" s="1997"/>
      <c r="S177" s="1997"/>
      <c r="T177" s="1997"/>
      <c r="U177" s="1997"/>
      <c r="V177" s="1997"/>
      <c r="W177" s="1997"/>
      <c r="X177" s="1997"/>
      <c r="Y177" s="1997"/>
      <c r="Z177" s="1997"/>
      <c r="AA177" s="1997"/>
      <c r="AB177" s="1997"/>
      <c r="AC177" s="1997"/>
      <c r="AD177" s="1997"/>
      <c r="AE177" s="1997"/>
      <c r="AF177" s="1997"/>
      <c r="AG177" s="1997"/>
      <c r="AH177" s="1997"/>
      <c r="AI177" s="1997"/>
      <c r="AJ177" s="1997"/>
      <c r="AK177" s="1997"/>
      <c r="AL177" s="1997"/>
      <c r="AM177" s="1997"/>
      <c r="AN177" s="1997"/>
      <c r="AO177" s="1997"/>
      <c r="AP177" s="1997"/>
      <c r="AQ177" s="1997"/>
    </row>
    <row r="178" spans="1:43" ht="16.5" x14ac:dyDescent="0.25">
      <c r="A178" s="1996"/>
      <c r="B178" s="2022"/>
      <c r="C178" s="2022"/>
      <c r="D178" s="2022"/>
      <c r="E178" s="2022"/>
      <c r="F178" s="2022"/>
      <c r="G178" s="2022"/>
      <c r="H178" s="2022"/>
      <c r="I178" s="2023"/>
      <c r="J178" s="2022"/>
      <c r="K178" s="2022"/>
      <c r="L178" s="2023"/>
      <c r="M178" s="2022"/>
      <c r="N178" s="2022"/>
      <c r="O178" s="2023"/>
      <c r="P178" s="2022"/>
      <c r="Q178" s="2022"/>
      <c r="R178" s="2023"/>
      <c r="S178" s="2022"/>
      <c r="T178" s="2022"/>
      <c r="U178" s="2023"/>
      <c r="V178" s="2022"/>
      <c r="W178" s="2022"/>
      <c r="X178" s="2023"/>
      <c r="Y178" s="2022"/>
      <c r="Z178" s="2022"/>
      <c r="AA178" s="2023"/>
      <c r="AB178" s="2022"/>
      <c r="AC178" s="2022"/>
      <c r="AD178" s="2023"/>
      <c r="AE178" s="2022"/>
      <c r="AF178" s="2022"/>
      <c r="AG178" s="2023"/>
      <c r="AH178" s="2022"/>
      <c r="AI178" s="2022"/>
      <c r="AJ178" s="2023"/>
      <c r="AK178" s="2022"/>
      <c r="AL178" s="2022"/>
      <c r="AM178" s="2023"/>
      <c r="AN178" s="2022"/>
      <c r="AO178" s="2022"/>
      <c r="AP178" s="2023"/>
      <c r="AQ178" s="2022"/>
    </row>
    <row r="179" spans="1:43" ht="16.5" x14ac:dyDescent="0.25">
      <c r="A179" s="1996"/>
      <c r="B179" s="1996"/>
      <c r="C179" s="1996"/>
      <c r="D179" s="1996"/>
      <c r="E179" s="1996"/>
      <c r="F179" s="1996"/>
      <c r="G179" s="1997"/>
    </row>
    <row r="195" spans="3:3" x14ac:dyDescent="0.2">
      <c r="C195" s="2025"/>
    </row>
  </sheetData>
  <mergeCells count="425">
    <mergeCell ref="AC6:AE6"/>
    <mergeCell ref="AF6:AH6"/>
    <mergeCell ref="AI6:AK6"/>
    <mergeCell ref="AL6:AN6"/>
    <mergeCell ref="AO6:AQ6"/>
    <mergeCell ref="A7:B8"/>
    <mergeCell ref="C7:C8"/>
    <mergeCell ref="D7:G8"/>
    <mergeCell ref="A4:AQ4"/>
    <mergeCell ref="AN5:AQ5"/>
    <mergeCell ref="A6:G6"/>
    <mergeCell ref="H6:J6"/>
    <mergeCell ref="K6:M6"/>
    <mergeCell ref="N6:P6"/>
    <mergeCell ref="Q6:S6"/>
    <mergeCell ref="T6:V6"/>
    <mergeCell ref="W6:Y6"/>
    <mergeCell ref="Z6:AB6"/>
    <mergeCell ref="Z12:AB12"/>
    <mergeCell ref="AC12:AE12"/>
    <mergeCell ref="AF12:AH12"/>
    <mergeCell ref="AI12:AK12"/>
    <mergeCell ref="AL12:AN12"/>
    <mergeCell ref="AO12:AQ12"/>
    <mergeCell ref="H12:J12"/>
    <mergeCell ref="K12:M12"/>
    <mergeCell ref="N12:P12"/>
    <mergeCell ref="Q12:S12"/>
    <mergeCell ref="T12:V12"/>
    <mergeCell ref="W12:Y12"/>
    <mergeCell ref="Z13:AB13"/>
    <mergeCell ref="AC13:AE13"/>
    <mergeCell ref="AF13:AH13"/>
    <mergeCell ref="AI13:AK13"/>
    <mergeCell ref="AL13:AN13"/>
    <mergeCell ref="AO13:AQ13"/>
    <mergeCell ref="H13:J13"/>
    <mergeCell ref="K13:M13"/>
    <mergeCell ref="N13:P13"/>
    <mergeCell ref="Q13:S13"/>
    <mergeCell ref="T13:V13"/>
    <mergeCell ref="W13:Y13"/>
    <mergeCell ref="Z14:AB14"/>
    <mergeCell ref="AC14:AE14"/>
    <mergeCell ref="AF14:AH14"/>
    <mergeCell ref="AI14:AK14"/>
    <mergeCell ref="AL14:AN14"/>
    <mergeCell ref="AO14:AQ14"/>
    <mergeCell ref="H14:J14"/>
    <mergeCell ref="K14:M14"/>
    <mergeCell ref="N14:P14"/>
    <mergeCell ref="Q14:S14"/>
    <mergeCell ref="T14:V14"/>
    <mergeCell ref="W14:Y14"/>
    <mergeCell ref="AO15:AQ15"/>
    <mergeCell ref="D16:G16"/>
    <mergeCell ref="H16:J16"/>
    <mergeCell ref="K16:M16"/>
    <mergeCell ref="N16:P16"/>
    <mergeCell ref="Q16:S16"/>
    <mergeCell ref="T16:V16"/>
    <mergeCell ref="W16:Y16"/>
    <mergeCell ref="Z16:AB16"/>
    <mergeCell ref="AC16:AE16"/>
    <mergeCell ref="W15:Y15"/>
    <mergeCell ref="Z15:AB15"/>
    <mergeCell ref="AC15:AE15"/>
    <mergeCell ref="AF15:AH15"/>
    <mergeCell ref="AI15:AK15"/>
    <mergeCell ref="AL15:AN15"/>
    <mergeCell ref="F15:G15"/>
    <mergeCell ref="H15:J15"/>
    <mergeCell ref="K15:M15"/>
    <mergeCell ref="N15:P15"/>
    <mergeCell ref="Q15:S15"/>
    <mergeCell ref="T15:V15"/>
    <mergeCell ref="D13:E15"/>
    <mergeCell ref="F13:G13"/>
    <mergeCell ref="AF16:AH16"/>
    <mergeCell ref="AI16:AK16"/>
    <mergeCell ref="AL16:AN16"/>
    <mergeCell ref="AO16:AQ16"/>
    <mergeCell ref="A17:B24"/>
    <mergeCell ref="C17:C24"/>
    <mergeCell ref="D17:E19"/>
    <mergeCell ref="F17:G17"/>
    <mergeCell ref="F18:G18"/>
    <mergeCell ref="F19:G19"/>
    <mergeCell ref="A9:B16"/>
    <mergeCell ref="C9:C16"/>
    <mergeCell ref="D9:E11"/>
    <mergeCell ref="F9:G9"/>
    <mergeCell ref="F10:G10"/>
    <mergeCell ref="F11:G11"/>
    <mergeCell ref="D12:G12"/>
    <mergeCell ref="F14:G14"/>
    <mergeCell ref="AO20:AQ20"/>
    <mergeCell ref="D21:E23"/>
    <mergeCell ref="F21:G21"/>
    <mergeCell ref="H21:J21"/>
    <mergeCell ref="K21:M21"/>
    <mergeCell ref="N21:P21"/>
    <mergeCell ref="Q21:S21"/>
    <mergeCell ref="T21:V21"/>
    <mergeCell ref="W21:Y21"/>
    <mergeCell ref="Z21:AB21"/>
    <mergeCell ref="W20:Y20"/>
    <mergeCell ref="Z20:AB20"/>
    <mergeCell ref="AC20:AE20"/>
    <mergeCell ref="AF20:AH20"/>
    <mergeCell ref="AI20:AK20"/>
    <mergeCell ref="AL20:AN20"/>
    <mergeCell ref="D20:G20"/>
    <mergeCell ref="H20:J20"/>
    <mergeCell ref="K20:M20"/>
    <mergeCell ref="N20:P20"/>
    <mergeCell ref="Q20:S20"/>
    <mergeCell ref="T20:V20"/>
    <mergeCell ref="AC21:AE21"/>
    <mergeCell ref="AF21:AH21"/>
    <mergeCell ref="AI21:AK21"/>
    <mergeCell ref="AL21:AN21"/>
    <mergeCell ref="AO21:AQ21"/>
    <mergeCell ref="F22:G22"/>
    <mergeCell ref="H22:J22"/>
    <mergeCell ref="K22:M22"/>
    <mergeCell ref="N22:P22"/>
    <mergeCell ref="Q22:S22"/>
    <mergeCell ref="AL22:AN22"/>
    <mergeCell ref="AO22:AQ22"/>
    <mergeCell ref="F23:G23"/>
    <mergeCell ref="H23:J23"/>
    <mergeCell ref="K23:M23"/>
    <mergeCell ref="N23:P23"/>
    <mergeCell ref="Q23:S23"/>
    <mergeCell ref="T23:V23"/>
    <mergeCell ref="W23:Y23"/>
    <mergeCell ref="Z23:AB23"/>
    <mergeCell ref="T22:V22"/>
    <mergeCell ref="W22:Y22"/>
    <mergeCell ref="Z22:AB22"/>
    <mergeCell ref="AC22:AE22"/>
    <mergeCell ref="AF22:AH22"/>
    <mergeCell ref="AI22:AK22"/>
    <mergeCell ref="AC23:AE23"/>
    <mergeCell ref="AF23:AH23"/>
    <mergeCell ref="AI23:AK23"/>
    <mergeCell ref="AL23:AN23"/>
    <mergeCell ref="AO23:AQ23"/>
    <mergeCell ref="D24:G24"/>
    <mergeCell ref="H24:J24"/>
    <mergeCell ref="K24:M24"/>
    <mergeCell ref="N24:P24"/>
    <mergeCell ref="Q24:S24"/>
    <mergeCell ref="AL24:AN24"/>
    <mergeCell ref="AO24:AQ24"/>
    <mergeCell ref="A25:C27"/>
    <mergeCell ref="D25:E27"/>
    <mergeCell ref="F25:G25"/>
    <mergeCell ref="F26:G26"/>
    <mergeCell ref="F27:G27"/>
    <mergeCell ref="T24:V24"/>
    <mergeCell ref="W24:Y24"/>
    <mergeCell ref="Z24:AB24"/>
    <mergeCell ref="AC24:AE24"/>
    <mergeCell ref="AF24:AH24"/>
    <mergeCell ref="AI24:AK24"/>
    <mergeCell ref="A52:G52"/>
    <mergeCell ref="A54:C54"/>
    <mergeCell ref="D54:E54"/>
    <mergeCell ref="F54:G54"/>
    <mergeCell ref="A55:C55"/>
    <mergeCell ref="A72:G72"/>
    <mergeCell ref="A32:C32"/>
    <mergeCell ref="D32:E32"/>
    <mergeCell ref="F32:G32"/>
    <mergeCell ref="A33:C33"/>
    <mergeCell ref="A50:G50"/>
    <mergeCell ref="A51:G51"/>
    <mergeCell ref="Z79:AB80"/>
    <mergeCell ref="AC79:AE80"/>
    <mergeCell ref="AF79:AH80"/>
    <mergeCell ref="AI79:AK80"/>
    <mergeCell ref="AL79:AN80"/>
    <mergeCell ref="AO79:AQ80"/>
    <mergeCell ref="A73:G73"/>
    <mergeCell ref="A74:G74"/>
    <mergeCell ref="A77:A81"/>
    <mergeCell ref="E79:F79"/>
    <mergeCell ref="T79:V80"/>
    <mergeCell ref="W79:Y80"/>
    <mergeCell ref="H80:I80"/>
    <mergeCell ref="K80:L80"/>
    <mergeCell ref="N80:O80"/>
    <mergeCell ref="Q80:R80"/>
    <mergeCell ref="AL84:AN85"/>
    <mergeCell ref="AO84:AQ85"/>
    <mergeCell ref="H85:I85"/>
    <mergeCell ref="K85:L85"/>
    <mergeCell ref="N85:O85"/>
    <mergeCell ref="Q85:R85"/>
    <mergeCell ref="B81:G81"/>
    <mergeCell ref="A82:A86"/>
    <mergeCell ref="E84:F84"/>
    <mergeCell ref="T84:V85"/>
    <mergeCell ref="W84:Y85"/>
    <mergeCell ref="Z84:AB85"/>
    <mergeCell ref="B86:G86"/>
    <mergeCell ref="A87:G87"/>
    <mergeCell ref="A93:G93"/>
    <mergeCell ref="H93:J93"/>
    <mergeCell ref="K93:M93"/>
    <mergeCell ref="N93:P93"/>
    <mergeCell ref="Q93:S93"/>
    <mergeCell ref="AC84:AE85"/>
    <mergeCell ref="AF84:AH85"/>
    <mergeCell ref="AI84:AK85"/>
    <mergeCell ref="F98:G98"/>
    <mergeCell ref="D99:G99"/>
    <mergeCell ref="H99:J99"/>
    <mergeCell ref="K99:M99"/>
    <mergeCell ref="N99:P99"/>
    <mergeCell ref="Q99:S99"/>
    <mergeCell ref="AL93:AN93"/>
    <mergeCell ref="AO93:AQ93"/>
    <mergeCell ref="A94:B95"/>
    <mergeCell ref="C94:C95"/>
    <mergeCell ref="D94:G95"/>
    <mergeCell ref="A96:B103"/>
    <mergeCell ref="C96:C103"/>
    <mergeCell ref="D96:E98"/>
    <mergeCell ref="F96:G96"/>
    <mergeCell ref="F97:G97"/>
    <mergeCell ref="T93:V93"/>
    <mergeCell ref="W93:Y93"/>
    <mergeCell ref="Z93:AB93"/>
    <mergeCell ref="AC93:AE93"/>
    <mergeCell ref="AF93:AH93"/>
    <mergeCell ref="AI93:AK93"/>
    <mergeCell ref="Z100:AB100"/>
    <mergeCell ref="AC100:AE100"/>
    <mergeCell ref="AF100:AH100"/>
    <mergeCell ref="AI100:AK100"/>
    <mergeCell ref="AL100:AN100"/>
    <mergeCell ref="AO100:AQ100"/>
    <mergeCell ref="AL99:AN99"/>
    <mergeCell ref="AO99:AQ99"/>
    <mergeCell ref="D100:E102"/>
    <mergeCell ref="F100:G100"/>
    <mergeCell ref="H100:J100"/>
    <mergeCell ref="K100:M100"/>
    <mergeCell ref="N100:P100"/>
    <mergeCell ref="Q100:S100"/>
    <mergeCell ref="T100:V100"/>
    <mergeCell ref="W100:Y100"/>
    <mergeCell ref="T99:V99"/>
    <mergeCell ref="W99:Y99"/>
    <mergeCell ref="Z99:AB99"/>
    <mergeCell ref="AC99:AE99"/>
    <mergeCell ref="AF99:AH99"/>
    <mergeCell ref="AI99:AK99"/>
    <mergeCell ref="AO101:AQ101"/>
    <mergeCell ref="F102:G102"/>
    <mergeCell ref="H102:J102"/>
    <mergeCell ref="K102:M102"/>
    <mergeCell ref="N102:P102"/>
    <mergeCell ref="Q102:S102"/>
    <mergeCell ref="T102:V102"/>
    <mergeCell ref="W102:Y102"/>
    <mergeCell ref="Z102:AB102"/>
    <mergeCell ref="AC102:AE102"/>
    <mergeCell ref="W101:Y101"/>
    <mergeCell ref="Z101:AB101"/>
    <mergeCell ref="AC101:AE101"/>
    <mergeCell ref="AF101:AH101"/>
    <mergeCell ref="AI101:AK101"/>
    <mergeCell ref="AL101:AN101"/>
    <mergeCell ref="F101:G101"/>
    <mergeCell ref="H101:J101"/>
    <mergeCell ref="K101:M101"/>
    <mergeCell ref="N101:P101"/>
    <mergeCell ref="Q101:S101"/>
    <mergeCell ref="T101:V101"/>
    <mergeCell ref="AF102:AH102"/>
    <mergeCell ref="AI102:AK102"/>
    <mergeCell ref="AL102:AN102"/>
    <mergeCell ref="AO102:AQ102"/>
    <mergeCell ref="D103:G103"/>
    <mergeCell ref="H103:J103"/>
    <mergeCell ref="K103:M103"/>
    <mergeCell ref="N103:P103"/>
    <mergeCell ref="Q103:S103"/>
    <mergeCell ref="T103:V103"/>
    <mergeCell ref="AO103:AQ103"/>
    <mergeCell ref="A104:B111"/>
    <mergeCell ref="C104:C111"/>
    <mergeCell ref="D104:E106"/>
    <mergeCell ref="F104:G104"/>
    <mergeCell ref="F105:G105"/>
    <mergeCell ref="F106:G106"/>
    <mergeCell ref="D107:G107"/>
    <mergeCell ref="H107:J107"/>
    <mergeCell ref="K107:M107"/>
    <mergeCell ref="W103:Y103"/>
    <mergeCell ref="Z103:AB103"/>
    <mergeCell ref="AC103:AE103"/>
    <mergeCell ref="AF103:AH103"/>
    <mergeCell ref="AI103:AK103"/>
    <mergeCell ref="AL103:AN103"/>
    <mergeCell ref="AF107:AH107"/>
    <mergeCell ref="AI107:AK107"/>
    <mergeCell ref="AL107:AN107"/>
    <mergeCell ref="AO107:AQ107"/>
    <mergeCell ref="D108:E110"/>
    <mergeCell ref="F108:G108"/>
    <mergeCell ref="H108:J108"/>
    <mergeCell ref="K108:M108"/>
    <mergeCell ref="N108:P108"/>
    <mergeCell ref="Q108:S108"/>
    <mergeCell ref="N107:P107"/>
    <mergeCell ref="Q107:S107"/>
    <mergeCell ref="T107:V107"/>
    <mergeCell ref="W107:Y107"/>
    <mergeCell ref="Z107:AB107"/>
    <mergeCell ref="AC107:AE107"/>
    <mergeCell ref="AL108:AN108"/>
    <mergeCell ref="AO108:AQ108"/>
    <mergeCell ref="F109:G109"/>
    <mergeCell ref="H109:J109"/>
    <mergeCell ref="K109:M109"/>
    <mergeCell ref="N109:P109"/>
    <mergeCell ref="Q109:S109"/>
    <mergeCell ref="T109:V109"/>
    <mergeCell ref="W109:Y109"/>
    <mergeCell ref="Z109:AB109"/>
    <mergeCell ref="T108:V108"/>
    <mergeCell ref="W108:Y108"/>
    <mergeCell ref="Z108:AB108"/>
    <mergeCell ref="AC108:AE108"/>
    <mergeCell ref="AF108:AH108"/>
    <mergeCell ref="AI108:AK108"/>
    <mergeCell ref="AC109:AE109"/>
    <mergeCell ref="AF109:AH109"/>
    <mergeCell ref="AI109:AK109"/>
    <mergeCell ref="AL109:AN109"/>
    <mergeCell ref="AO109:AQ109"/>
    <mergeCell ref="F110:G110"/>
    <mergeCell ref="H110:J110"/>
    <mergeCell ref="K110:M110"/>
    <mergeCell ref="N110:P110"/>
    <mergeCell ref="Q110:S110"/>
    <mergeCell ref="AL111:AN111"/>
    <mergeCell ref="AO111:AQ111"/>
    <mergeCell ref="A112:C114"/>
    <mergeCell ref="D112:E114"/>
    <mergeCell ref="F112:G112"/>
    <mergeCell ref="F113:G113"/>
    <mergeCell ref="F114:G114"/>
    <mergeCell ref="AL110:AN110"/>
    <mergeCell ref="AO110:AQ110"/>
    <mergeCell ref="D111:G111"/>
    <mergeCell ref="H111:J111"/>
    <mergeCell ref="K111:M111"/>
    <mergeCell ref="N111:P111"/>
    <mergeCell ref="Q111:S111"/>
    <mergeCell ref="T111:V111"/>
    <mergeCell ref="W111:Y111"/>
    <mergeCell ref="Z111:AB111"/>
    <mergeCell ref="T110:V110"/>
    <mergeCell ref="W110:Y110"/>
    <mergeCell ref="Z110:AB110"/>
    <mergeCell ref="AC110:AE110"/>
    <mergeCell ref="AF110:AH110"/>
    <mergeCell ref="AI110:AK110"/>
    <mergeCell ref="E115:F115"/>
    <mergeCell ref="E116:F116"/>
    <mergeCell ref="E117:F117"/>
    <mergeCell ref="A119:C119"/>
    <mergeCell ref="D119:E119"/>
    <mergeCell ref="F119:G119"/>
    <mergeCell ref="AC111:AE111"/>
    <mergeCell ref="AF111:AH111"/>
    <mergeCell ref="AI111:AK111"/>
    <mergeCell ref="A142:C142"/>
    <mergeCell ref="A159:G159"/>
    <mergeCell ref="A160:G160"/>
    <mergeCell ref="A161:G161"/>
    <mergeCell ref="A164:A168"/>
    <mergeCell ref="E166:F166"/>
    <mergeCell ref="B168:G168"/>
    <mergeCell ref="A120:C120"/>
    <mergeCell ref="A137:G137"/>
    <mergeCell ref="A138:G138"/>
    <mergeCell ref="A139:G139"/>
    <mergeCell ref="A141:C141"/>
    <mergeCell ref="D141:E141"/>
    <mergeCell ref="F141:G141"/>
    <mergeCell ref="AL166:AN167"/>
    <mergeCell ref="AO166:AQ167"/>
    <mergeCell ref="H167:I167"/>
    <mergeCell ref="K167:L167"/>
    <mergeCell ref="N167:O167"/>
    <mergeCell ref="Q167:R167"/>
    <mergeCell ref="T166:V167"/>
    <mergeCell ref="W166:Y167"/>
    <mergeCell ref="Z166:AB167"/>
    <mergeCell ref="AC166:AE167"/>
    <mergeCell ref="AF166:AH167"/>
    <mergeCell ref="AI166:AK167"/>
    <mergeCell ref="A174:G174"/>
    <mergeCell ref="AF171:AH172"/>
    <mergeCell ref="AI171:AK172"/>
    <mergeCell ref="AL171:AN172"/>
    <mergeCell ref="AO171:AQ172"/>
    <mergeCell ref="H172:I172"/>
    <mergeCell ref="K172:L172"/>
    <mergeCell ref="N172:O172"/>
    <mergeCell ref="Q172:R172"/>
    <mergeCell ref="A169:A173"/>
    <mergeCell ref="E171:F171"/>
    <mergeCell ref="T171:V172"/>
    <mergeCell ref="W171:Y172"/>
    <mergeCell ref="Z171:AB172"/>
    <mergeCell ref="AC171:AE172"/>
    <mergeCell ref="B173:G173"/>
  </mergeCells>
  <pageMargins left="0.70866141732283472" right="0.70866141732283472" top="0.35433070866141736" bottom="0.15748031496062992" header="0.31496062992125984" footer="0.31496062992125984"/>
  <pageSetup paperSize="8" scale="36" fitToHeight="0" orientation="landscape" horizontalDpi="120" verticalDpi="144" r:id="rId1"/>
  <headerFooter alignWithMargins="0">
    <oddFooter xml:space="preserve">&amp;R
</oddFooter>
  </headerFooter>
  <rowBreaks count="1" manualBreakCount="1">
    <brk id="91" max="4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18</vt:i4>
      </vt:variant>
    </vt:vector>
  </HeadingPairs>
  <TitlesOfParts>
    <vt:vector size="33" baseType="lpstr">
      <vt:lpstr>Форма 3</vt:lpstr>
      <vt:lpstr>ПС 110-10 МДФ</vt:lpstr>
      <vt:lpstr>ПС 110-10 ЮМАС</vt:lpstr>
      <vt:lpstr>ПС 110-10 Лорба</vt:lpstr>
      <vt:lpstr>ПС 110-10 Сергино</vt:lpstr>
      <vt:lpstr>ПС 110-10 Полноват</vt:lpstr>
      <vt:lpstr>ПС 110-10 Шеркалы</vt:lpstr>
      <vt:lpstr>ПС 110-10 Кода</vt:lpstr>
      <vt:lpstr>ПС 110-10 Чара</vt:lpstr>
      <vt:lpstr>ПС 110-35-6 Березово</vt:lpstr>
      <vt:lpstr>ПС 110-10 Аванград</vt:lpstr>
      <vt:lpstr>ПС 110-35-10 ГИБДД</vt:lpstr>
      <vt:lpstr>ПС 110-10 Западная</vt:lpstr>
      <vt:lpstr>ПС 110-10 Самарово</vt:lpstr>
      <vt:lpstr>ПС 110-10-6 Пионерная-2</vt:lpstr>
      <vt:lpstr>'ПС 110-10 Кода'!Заголовки_для_печати</vt:lpstr>
      <vt:lpstr>'ПС 110-10 Лорба'!Заголовки_для_печати</vt:lpstr>
      <vt:lpstr>'ПС 110-10 Полноват'!Заголовки_для_печати</vt:lpstr>
      <vt:lpstr>'ПС 110-10 Сергино'!Заголовки_для_печати</vt:lpstr>
      <vt:lpstr>'ПС 110-10 Чара'!Заголовки_для_печати</vt:lpstr>
      <vt:lpstr>'ПС 110-10 Шеркалы'!Заголовки_для_печати</vt:lpstr>
      <vt:lpstr>'ПС 110-35-6 Березово'!Заголовки_для_печати</vt:lpstr>
      <vt:lpstr>'ПС 110-10 Кода'!Область_печати</vt:lpstr>
      <vt:lpstr>'ПС 110-10 Лорба'!Область_печати</vt:lpstr>
      <vt:lpstr>'ПС 110-10 МДФ'!Область_печати</vt:lpstr>
      <vt:lpstr>'ПС 110-10 Полноват'!Область_печати</vt:lpstr>
      <vt:lpstr>'ПС 110-10 Сергино'!Область_печати</vt:lpstr>
      <vt:lpstr>'ПС 110-10 Чара'!Область_печати</vt:lpstr>
      <vt:lpstr>'ПС 110-10 Шеркалы'!Область_печати</vt:lpstr>
      <vt:lpstr>'ПС 110-10 ЮМАС'!Область_печати</vt:lpstr>
      <vt:lpstr>'ПС 110-10-6 Пионерная-2'!Область_печати</vt:lpstr>
      <vt:lpstr>'ПС 110-35-6 Березово'!Область_печати</vt:lpstr>
      <vt:lpstr>'Форма 3'!Область_печати</vt:lpstr>
    </vt:vector>
  </TitlesOfParts>
  <Company>TES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Arhipova</dc:creator>
  <cp:lastModifiedBy>Старовойтов Сергей Юрьевич</cp:lastModifiedBy>
  <cp:lastPrinted>2010-05-27T08:39:01Z</cp:lastPrinted>
  <dcterms:created xsi:type="dcterms:W3CDTF">1998-04-15T04:43:50Z</dcterms:created>
  <dcterms:modified xsi:type="dcterms:W3CDTF">2025-01-17T10:29:30Z</dcterms:modified>
</cp:coreProperties>
</file>